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6405" windowHeight="4020" tabRatio="713" activeTab="13"/>
  </bookViews>
  <sheets>
    <sheet name="Guía para el Apéndice de Datos" sheetId="1" r:id="rId1"/>
    <sheet name="Migración por lugar nacimiento" sheetId="2" r:id="rId2"/>
    <sheet name="Hoja Metodológica 1974-1990" sheetId="3" r:id="rId3"/>
    <sheet name="Migración antes de 5 años" sheetId="4" r:id="rId4"/>
    <sheet name="Migración Total" sheetId="5" r:id="rId5"/>
    <sheet name="Indic-Macroeconómicos" sheetId="6" r:id="rId6"/>
    <sheet name="Indic-Vivienda&amp; Serv. Públicos" sheetId="7" r:id="rId7"/>
    <sheet name="Indic-Educación" sheetId="8" r:id="rId8"/>
    <sheet name="Indic-Salud" sheetId="9" r:id="rId9"/>
    <sheet name="Indic-Pobreza" sheetId="10" r:id="rId10"/>
    <sheet name="Indic-Gestión Municipal" sheetId="11" r:id="rId11"/>
    <sheet name="Indic-PoblaciónEconómicaActiva" sheetId="12" r:id="rId12"/>
    <sheet name="Indic-Demografía" sheetId="13" r:id="rId13"/>
    <sheet name="Indic-Violencia" sheetId="14" r:id="rId14"/>
  </sheets>
  <definedNames>
    <definedName name="_xlnm.Print_Area" localSheetId="2">'Hoja Metodológica 1974-1990'!$A$1:$Q$29</definedName>
    <definedName name="_xlnm.Print_Area" localSheetId="12">'Indic-Demografía'!$A$1:$G$35</definedName>
    <definedName name="_xlnm.Print_Area" localSheetId="10">'Indic-Gestión Municipal'!$A$1:$Q$26</definedName>
    <definedName name="_xlnm.Print_Area" localSheetId="5">'Indic-Macroeconómicos'!$A$1:$Q$73</definedName>
    <definedName name="_xlnm.Print_Area" localSheetId="11">'Indic-PoblaciónEconómicaActiva'!$A$1:$S$27</definedName>
    <definedName name="_xlnm.Print_Area" localSheetId="8">'Indic-Salud'!$A$1:$G$26</definedName>
    <definedName name="_xlnm.Print_Area" localSheetId="6">'Indic-Vivienda&amp; Serv. Públicos'!$A$1:$Q$34</definedName>
    <definedName name="_xlnm.Print_Area" localSheetId="3">'Migración antes de 5 años'!$A$1:$F$111</definedName>
    <definedName name="_xlnm.Print_Area" localSheetId="1">'Migración por lugar nacimiento'!$A$1:$M$181</definedName>
    <definedName name="_xlnm.Print_Area" localSheetId="4">'Migración Total'!$A$1:$AA$77</definedName>
  </definedNames>
  <calcPr fullCalcOnLoad="1"/>
</workbook>
</file>

<file path=xl/comments10.xml><?xml version="1.0" encoding="utf-8"?>
<comments xmlns="http://schemas.openxmlformats.org/spreadsheetml/2006/main">
  <authors>
    <author>Ecolap</author>
  </authors>
  <commentList>
    <comment ref="A2" authorId="0">
      <text>
        <r>
          <rPr>
            <sz val="8"/>
            <rFont val="Tahoma"/>
            <family val="0"/>
          </rPr>
          <t>Odeplan 2000, Base de datos INFOPLAN. 
Nota: Ver definición en el recuadro de texto en la parte inferior de la tabla.</t>
        </r>
      </text>
    </comment>
  </commentList>
</comments>
</file>

<file path=xl/comments11.xml><?xml version="1.0" encoding="utf-8"?>
<comments xmlns="http://schemas.openxmlformats.org/spreadsheetml/2006/main">
  <authors>
    <author>Ecolap</author>
  </authors>
  <commentList>
    <comment ref="A2" authorId="0">
      <text>
        <r>
          <rPr>
            <sz val="8"/>
            <rFont val="Tahoma"/>
            <family val="0"/>
          </rPr>
          <t>ODEPLAN 2000, Base de datos INFOPLAN</t>
        </r>
      </text>
    </comment>
  </commentList>
</comments>
</file>

<file path=xl/comments12.xml><?xml version="1.0" encoding="utf-8"?>
<comments xmlns="http://schemas.openxmlformats.org/spreadsheetml/2006/main">
  <authors>
    <author>Ecolap</author>
  </authors>
  <commentList>
    <comment ref="Q2" authorId="0">
      <text>
        <r>
          <rPr>
            <b/>
            <sz val="8"/>
            <rFont val="Tahoma"/>
            <family val="0"/>
          </rPr>
          <t>Aquí los servicios no incluyen transporte, comunicaciones, trabajos en empresas financieras y de seguros.</t>
        </r>
      </text>
    </comment>
    <comment ref="A2" authorId="0">
      <text>
        <r>
          <rPr>
            <sz val="8"/>
            <rFont val="Tahoma"/>
            <family val="0"/>
          </rPr>
          <t>ODEPLAN 2000, Base de datos INFOPLAN</t>
        </r>
        <r>
          <rPr>
            <b/>
            <sz val="8"/>
            <rFont val="Tahoma"/>
            <family val="0"/>
          </rPr>
          <t/>
        </r>
      </text>
    </comment>
  </commentList>
</comments>
</file>

<file path=xl/comments13.xml><?xml version="1.0" encoding="utf-8"?>
<comments xmlns="http://schemas.openxmlformats.org/spreadsheetml/2006/main">
  <authors>
    <author>Ecolap</author>
  </authors>
  <commentList>
    <comment ref="C2" authorId="0">
      <text>
        <r>
          <rPr>
            <b/>
            <sz val="8"/>
            <rFont val="Tahoma"/>
            <family val="2"/>
          </rPr>
          <t>Fuente: SIISE 2001, version 2.0 Definición: número promedio de niños que nacen de mujeres en edad reproductiva (entre 15 y 49 años de edad), considerando tasas de fertilidad constantes para cada año.</t>
        </r>
      </text>
    </comment>
    <comment ref="B2" authorId="0">
      <text>
        <r>
          <rPr>
            <sz val="8"/>
            <rFont val="Tahoma"/>
            <family val="0"/>
          </rPr>
          <t>Fuente: SIISE 2001, versión 2.0</t>
        </r>
      </text>
    </comment>
  </commentList>
</comments>
</file>

<file path=xl/comments14.xml><?xml version="1.0" encoding="utf-8"?>
<comments xmlns="http://schemas.openxmlformats.org/spreadsheetml/2006/main">
  <authors>
    <author>Ecolap</author>
  </authors>
  <commentList>
    <comment ref="B2" authorId="0">
      <text>
        <r>
          <rPr>
            <sz val="8"/>
            <rFont val="Tahoma"/>
            <family val="0"/>
          </rPr>
          <t>Padilla 2001. Indicadores de Desarrollo Económico Provincial</t>
        </r>
      </text>
    </comment>
    <comment ref="C2" authorId="0">
      <text>
        <r>
          <rPr>
            <sz val="7"/>
            <rFont val="Tahoma"/>
            <family val="0"/>
          </rPr>
          <t>Padilla 2001. Indicadores de Desarrollo Económico Provincial</t>
        </r>
      </text>
    </comment>
    <comment ref="D2" authorId="0">
      <text>
        <r>
          <rPr>
            <sz val="8"/>
            <rFont val="Tahoma"/>
            <family val="0"/>
          </rPr>
          <t>Padilla 2001. Indicadores de Desarrollo Económico Provincial</t>
        </r>
      </text>
    </comment>
  </commentList>
</comments>
</file>

<file path=xl/comments4.xml><?xml version="1.0" encoding="utf-8"?>
<comments xmlns="http://schemas.openxmlformats.org/spreadsheetml/2006/main">
  <authors>
    <author>Ecolap</author>
  </authors>
  <commentList>
    <comment ref="C4" authorId="0">
      <text>
        <r>
          <rPr>
            <b/>
            <sz val="8"/>
            <rFont val="Tahoma"/>
            <family val="2"/>
          </rPr>
          <t>Notas:</t>
        </r>
        <r>
          <rPr>
            <sz val="8"/>
            <rFont val="Tahoma"/>
            <family val="0"/>
          </rPr>
          <t xml:space="preserve">
</t>
        </r>
        <r>
          <rPr>
            <b/>
            <sz val="8"/>
            <rFont val="Tahoma"/>
            <family val="2"/>
          </rPr>
          <t>a)</t>
        </r>
        <r>
          <rPr>
            <sz val="8"/>
            <rFont val="Tahoma"/>
            <family val="0"/>
          </rPr>
          <t xml:space="preserve"> La población migrante incluye los individuos mayores de 5 años.             
</t>
        </r>
        <r>
          <rPr>
            <b/>
            <sz val="8"/>
            <rFont val="Tahoma"/>
            <family val="2"/>
          </rPr>
          <t>b)</t>
        </r>
        <r>
          <rPr>
            <sz val="8"/>
            <rFont val="Tahoma"/>
            <family val="0"/>
          </rPr>
          <t xml:space="preserve"> El valor "0" para las variables de 'inmigración' y 'emigración' significa que no hay disponibilidad de datos.             
</t>
        </r>
        <r>
          <rPr>
            <b/>
            <sz val="8"/>
            <rFont val="Tahoma"/>
            <family val="2"/>
          </rPr>
          <t>c)</t>
        </r>
        <r>
          <rPr>
            <sz val="8"/>
            <rFont val="Tahoma"/>
            <family val="0"/>
          </rPr>
          <t xml:space="preserve"> Para 1974 y 1982, la pregunta fue: "¿dónde vivía antes? ¿hace cuánto tiempo?". Para 1990, la pregunta fue "¿dónde vivía usted hace 5 años?"  Para 1974 y 1982, se tomaron los datos para aquellos individuos que habían vivido en Galápagos hace 0-5 años y luego se los clasificó por  'provincia de residencia actual'</t>
        </r>
      </text>
    </comment>
  </commentList>
</comments>
</file>

<file path=xl/comments5.xml><?xml version="1.0" encoding="utf-8"?>
<comments xmlns="http://schemas.openxmlformats.org/spreadsheetml/2006/main">
  <authors>
    <author>Default</author>
    <author>Ecolap</author>
  </authors>
  <commentList>
    <comment ref="C9" authorId="0">
      <text>
        <r>
          <rPr>
            <sz val="8"/>
            <rFont val="Tahoma"/>
            <family val="0"/>
          </rPr>
          <t>Excluye a los turistas estimados</t>
        </r>
      </text>
    </comment>
    <comment ref="C10" authorId="0">
      <text>
        <r>
          <rPr>
            <sz val="8"/>
            <rFont val="Tahoma"/>
            <family val="0"/>
          </rPr>
          <t>Excluye a los turistas estimados</t>
        </r>
      </text>
    </comment>
    <comment ref="B9" authorId="1">
      <text>
        <r>
          <rPr>
            <sz val="8"/>
            <rFont val="Tahoma"/>
            <family val="0"/>
          </rPr>
          <t>El Censo de Galápagos en 1998 registró 15.311 residentes permanentes y 772 turistas</t>
        </r>
      </text>
    </comment>
    <comment ref="B10" authorId="0">
      <text>
        <r>
          <rPr>
            <sz val="8"/>
            <rFont val="Tahoma"/>
            <family val="0"/>
          </rPr>
          <t>Resultados definitivos del Censo de 2001</t>
        </r>
      </text>
    </comment>
  </commentList>
</comments>
</file>

<file path=xl/comments6.xml><?xml version="1.0" encoding="utf-8"?>
<comments xmlns="http://schemas.openxmlformats.org/spreadsheetml/2006/main">
  <authors>
    <author>Ecolap</author>
    <author>Brunc@net Cafe</author>
  </authors>
  <commentList>
    <comment ref="B4" authorId="0">
      <text>
        <r>
          <rPr>
            <sz val="8"/>
            <rFont val="Tahoma"/>
            <family val="0"/>
          </rPr>
          <t>Estadísticas del Banco Central hasta 1994  y proyecciones de población para los periodos intercensales.  El dato del año 2001 proviene del censo nacional de ese año</t>
        </r>
      </text>
    </comment>
    <comment ref="C4" authorId="0">
      <text>
        <r>
          <rPr>
            <sz val="8"/>
            <rFont val="Tahoma"/>
            <family val="0"/>
          </rPr>
          <t>Estadísticas del Banco Central y proyecciones</t>
        </r>
      </text>
    </comment>
    <comment ref="F4" authorId="0">
      <text>
        <r>
          <rPr>
            <sz val="8"/>
            <rFont val="Tahoma"/>
            <family val="0"/>
          </rPr>
          <t>Estadísticas del Banco Central</t>
        </r>
      </text>
    </comment>
    <comment ref="H4" authorId="0">
      <text>
        <r>
          <rPr>
            <sz val="8"/>
            <rFont val="Tahoma"/>
            <family val="0"/>
          </rPr>
          <t>Estadísticas del Banco Central</t>
        </r>
      </text>
    </comment>
    <comment ref="I4" authorId="0">
      <text>
        <r>
          <rPr>
            <sz val="8"/>
            <rFont val="Tahoma"/>
            <family val="0"/>
          </rPr>
          <t>Estadísticas del Banco Central para el período  1983-1999. Los datos de los años 2000 y 2001 provienen de la Cámara de Comercio</t>
        </r>
      </text>
    </comment>
    <comment ref="M4" authorId="0">
      <text>
        <r>
          <rPr>
            <sz val="8"/>
            <rFont val="Tahoma"/>
            <family val="0"/>
          </rPr>
          <t>Estadísticas del Banco Central,  Indice para familias de ingreso bajo y medio en Quito, Guayaquil y Cuenca</t>
        </r>
      </text>
    </comment>
    <comment ref="K56" authorId="0">
      <text>
        <r>
          <rPr>
            <b/>
            <sz val="8"/>
            <rFont val="Tahoma"/>
            <family val="0"/>
          </rPr>
          <t>With an exchange rate of $1= 25000 sucres, the minimum wage in dollars is $121.3</t>
        </r>
      </text>
    </comment>
    <comment ref="D4" authorId="1">
      <text>
        <r>
          <rPr>
            <sz val="8"/>
            <rFont val="Tahoma"/>
            <family val="0"/>
          </rPr>
          <t>Estadísticas del Banco Central y proyecciones</t>
        </r>
      </text>
    </comment>
    <comment ref="E4" authorId="1">
      <text>
        <r>
          <rPr>
            <sz val="8"/>
            <rFont val="Tahoma"/>
            <family val="0"/>
          </rPr>
          <t>Estadísticas del Banco Central y Proyecciones</t>
        </r>
      </text>
    </comment>
    <comment ref="B56" authorId="1">
      <text>
        <r>
          <rPr>
            <sz val="8"/>
            <rFont val="Tahoma"/>
            <family val="0"/>
          </rPr>
          <t>Censo del 2001</t>
        </r>
      </text>
    </comment>
    <comment ref="N4" authorId="1">
      <text>
        <r>
          <rPr>
            <sz val="8"/>
            <rFont val="Tahoma"/>
            <family val="0"/>
          </rPr>
          <t>Estadísticas del Banco Central,  Indice para familias de ingreso bajo y medio en Quito, Guayaquil y Cuenca</t>
        </r>
      </text>
    </comment>
    <comment ref="O4" authorId="1">
      <text>
        <r>
          <rPr>
            <sz val="8"/>
            <rFont val="Tahoma"/>
            <family val="0"/>
          </rPr>
          <t>Estadísticas del Banco Central,  Indice para familias de ingreso bajo y medio en Quito, Guayaquil y Cuenca</t>
        </r>
      </text>
    </comment>
    <comment ref="P4" authorId="1">
      <text>
        <r>
          <rPr>
            <sz val="8"/>
            <rFont val="Tahoma"/>
            <family val="0"/>
          </rPr>
          <t>Estadísticas del Banco Central del Ecuador.  Indice para familias de ingresos bajo y medio en Quito, Guayaquil y Cuenca</t>
        </r>
      </text>
    </comment>
    <comment ref="Q4" authorId="1">
      <text>
        <r>
          <rPr>
            <sz val="8"/>
            <rFont val="Tahoma"/>
            <family val="0"/>
          </rPr>
          <t>Estadísticas del Banco Central</t>
        </r>
      </text>
    </comment>
    <comment ref="G4" authorId="1">
      <text>
        <r>
          <rPr>
            <sz val="8"/>
            <rFont val="Tahoma"/>
            <family val="0"/>
          </rPr>
          <t>Estadísticas del Banco Central</t>
        </r>
      </text>
    </comment>
    <comment ref="J4" authorId="1">
      <text>
        <r>
          <rPr>
            <sz val="8"/>
            <rFont val="Tahoma"/>
            <family val="0"/>
          </rPr>
          <t>Estadísticas del Banco Central</t>
        </r>
      </text>
    </comment>
  </commentList>
</comments>
</file>

<file path=xl/comments7.xml><?xml version="1.0" encoding="utf-8"?>
<comments xmlns="http://schemas.openxmlformats.org/spreadsheetml/2006/main">
  <authors>
    <author>Ecolap</author>
  </authors>
  <commentList>
    <comment ref="B2" authorId="0">
      <text>
        <r>
          <rPr>
            <sz val="8"/>
            <rFont val="Tahoma"/>
            <family val="0"/>
          </rPr>
          <t>Censos nacionales de 1974, 1982 y 1990</t>
        </r>
      </text>
    </comment>
    <comment ref="E2" authorId="0">
      <text>
        <r>
          <rPr>
            <sz val="8"/>
            <rFont val="Tahoma"/>
            <family val="0"/>
          </rPr>
          <t>Censos Nacionales de 1974, 1982 y 1990</t>
        </r>
      </text>
    </comment>
    <comment ref="H2" authorId="0">
      <text>
        <r>
          <rPr>
            <sz val="8"/>
            <rFont val="Tahoma"/>
            <family val="0"/>
          </rPr>
          <t>Censos Nacionales de 1974, 1982 y 1990</t>
        </r>
      </text>
    </comment>
    <comment ref="K2" authorId="0">
      <text>
        <r>
          <rPr>
            <sz val="8"/>
            <rFont val="Tahoma"/>
            <family val="0"/>
          </rPr>
          <t>Censos Nacionales de 1982 y 1990</t>
        </r>
      </text>
    </comment>
    <comment ref="M2" authorId="0">
      <text>
        <r>
          <rPr>
            <sz val="8"/>
            <rFont val="Tahoma"/>
            <family val="0"/>
          </rPr>
          <t>SIISE (2001) versión 2.0</t>
        </r>
      </text>
    </comment>
    <comment ref="N2" authorId="0">
      <text>
        <r>
          <rPr>
            <sz val="8"/>
            <rFont val="Tahoma"/>
            <family val="0"/>
          </rPr>
          <t>SIISE (2001) versión 2.0</t>
        </r>
      </text>
    </comment>
    <comment ref="O2" authorId="0">
      <text>
        <r>
          <rPr>
            <b/>
            <sz val="8"/>
            <rFont val="Tahoma"/>
            <family val="2"/>
          </rPr>
          <t>SIISE (2001) versión 2.0</t>
        </r>
      </text>
    </comment>
    <comment ref="P2" authorId="0">
      <text>
        <r>
          <rPr>
            <sz val="8"/>
            <rFont val="Tahoma"/>
            <family val="0"/>
          </rPr>
          <t>SIISE (2001) versión 2.0</t>
        </r>
      </text>
    </comment>
    <comment ref="Q2" authorId="0">
      <text>
        <r>
          <rPr>
            <sz val="8"/>
            <rFont val="Tahoma"/>
            <family val="0"/>
          </rPr>
          <t>SIISE (2001) versión 2.0</t>
        </r>
      </text>
    </comment>
  </commentList>
</comments>
</file>

<file path=xl/comments8.xml><?xml version="1.0" encoding="utf-8"?>
<comments xmlns="http://schemas.openxmlformats.org/spreadsheetml/2006/main">
  <authors>
    <author>ECOLAP</author>
    <author>Ecolap</author>
  </authors>
  <commentList>
    <comment ref="J2" authorId="0">
      <text>
        <r>
          <rPr>
            <sz val="7"/>
            <rFont val="Tahoma"/>
            <family val="0"/>
          </rPr>
          <t>SIISE 2001 versión 2.0 La inversión pública en pre-primaria, primaria, y secundaria por   provincia, $ por alumno</t>
        </r>
      </text>
    </comment>
    <comment ref="B2" authorId="1">
      <text>
        <r>
          <rPr>
            <sz val="7"/>
            <rFont val="Tahoma"/>
            <family val="0"/>
          </rPr>
          <t>INEC - Censos Nacionales de  1974, 1982 y 1990</t>
        </r>
      </text>
    </comment>
    <comment ref="E2" authorId="1">
      <text>
        <r>
          <rPr>
            <sz val="7"/>
            <rFont val="Tahoma"/>
            <family val="0"/>
          </rPr>
          <t>INEC - Censos Nacionales de  1974, 1982 y 1990</t>
        </r>
      </text>
    </comment>
    <comment ref="I2" authorId="1">
      <text>
        <r>
          <rPr>
            <sz val="8"/>
            <rFont val="Tahoma"/>
            <family val="0"/>
          </rPr>
          <t>SIISE 2001 versión 2.0</t>
        </r>
      </text>
    </comment>
    <comment ref="H2" authorId="1">
      <text>
        <r>
          <rPr>
            <sz val="7"/>
            <rFont val="Tahoma"/>
            <family val="0"/>
          </rPr>
          <t xml:space="preserve">INEC- Censo Nacional de 1990 </t>
        </r>
        <r>
          <rPr>
            <sz val="8"/>
            <rFont val="Tahoma"/>
            <family val="0"/>
          </rPr>
          <t>D</t>
        </r>
        <r>
          <rPr>
            <sz val="7"/>
            <rFont val="Tahoma"/>
            <family val="0"/>
          </rPr>
          <t>atos no disponibles para los años anteriores</t>
        </r>
      </text>
    </comment>
    <comment ref="L2" authorId="1">
      <text>
        <r>
          <rPr>
            <sz val="7"/>
            <rFont val="Tahoma"/>
            <family val="0"/>
          </rPr>
          <t>INEC- Censo Nacional de 1990</t>
        </r>
        <r>
          <rPr>
            <sz val="8"/>
            <rFont val="Tahoma"/>
            <family val="0"/>
          </rPr>
          <t xml:space="preserve">
D</t>
        </r>
        <r>
          <rPr>
            <sz val="7"/>
            <rFont val="Tahoma"/>
            <family val="0"/>
          </rPr>
          <t>atos no disponibles para los años anteriores</t>
        </r>
      </text>
    </comment>
    <comment ref="M2" authorId="1">
      <text>
        <r>
          <rPr>
            <b/>
            <sz val="7"/>
            <rFont val="Tahoma"/>
            <family val="2"/>
          </rPr>
          <t>INEC- Censo Nacional de 1990  Datos no disponibles para los años anteriores</t>
        </r>
      </text>
    </comment>
    <comment ref="K2" authorId="1">
      <text>
        <r>
          <rPr>
            <sz val="8"/>
            <rFont val="Tahoma"/>
            <family val="0"/>
          </rPr>
          <t>SIISE 2001 versión 2.0</t>
        </r>
      </text>
    </comment>
  </commentList>
</comments>
</file>

<file path=xl/comments9.xml><?xml version="1.0" encoding="utf-8"?>
<comments xmlns="http://schemas.openxmlformats.org/spreadsheetml/2006/main">
  <authors>
    <author>Ecolap</author>
  </authors>
  <commentList>
    <comment ref="A2" authorId="0">
      <text>
        <r>
          <rPr>
            <sz val="8"/>
            <rFont val="Tahoma"/>
            <family val="0"/>
          </rPr>
          <t>SIISE 2001 versión 2.0</t>
        </r>
      </text>
    </comment>
  </commentList>
</comments>
</file>

<file path=xl/sharedStrings.xml><?xml version="1.0" encoding="utf-8"?>
<sst xmlns="http://schemas.openxmlformats.org/spreadsheetml/2006/main" count="854" uniqueCount="304">
  <si>
    <t>1990-1996</t>
  </si>
  <si>
    <t>Guayas</t>
  </si>
  <si>
    <t>Tungurahua</t>
  </si>
  <si>
    <t>El Oro</t>
  </si>
  <si>
    <t>Chimborazo</t>
  </si>
  <si>
    <t>Cotopaxi</t>
  </si>
  <si>
    <t>Loja</t>
  </si>
  <si>
    <t>Azuay</t>
  </si>
  <si>
    <t>Resto</t>
  </si>
  <si>
    <t>Total</t>
  </si>
  <si>
    <t>1950 - 1962</t>
  </si>
  <si>
    <t>1962 - 1974</t>
  </si>
  <si>
    <t>1993-1998</t>
  </si>
  <si>
    <t>Pichincha</t>
  </si>
  <si>
    <t>Manabí</t>
  </si>
  <si>
    <t>Cañar</t>
  </si>
  <si>
    <t>Esmeraldas</t>
  </si>
  <si>
    <t>Los Ríos</t>
  </si>
  <si>
    <t>Otros países</t>
  </si>
  <si>
    <t>1950-1993</t>
  </si>
  <si>
    <t>Se ignora</t>
  </si>
  <si>
    <t>1974 - 1982</t>
  </si>
  <si>
    <t>1983 - 1990</t>
  </si>
  <si>
    <t>Galápagos</t>
  </si>
  <si>
    <t>1975 sucres</t>
  </si>
  <si>
    <t>1950-1961</t>
  </si>
  <si>
    <t>1962-1973</t>
  </si>
  <si>
    <t>1982-1989</t>
  </si>
  <si>
    <t>1990-1997</t>
  </si>
  <si>
    <t>1974-1982</t>
  </si>
  <si>
    <t>1999-2001</t>
  </si>
  <si>
    <t>Bolívar</t>
  </si>
  <si>
    <t>Carchi</t>
  </si>
  <si>
    <t>Imbabura</t>
  </si>
  <si>
    <t>1998-2001</t>
  </si>
  <si>
    <t>Morona</t>
  </si>
  <si>
    <t>Napo</t>
  </si>
  <si>
    <t>Pastaza</t>
  </si>
  <si>
    <t xml:space="preserve">Zamora </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</si>
  <si>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</si>
  <si>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</si>
  <si>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</si>
  <si>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</si>
  <si>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</si>
  <si>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</si>
  <si>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</si>
  <si>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</si>
  <si>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</si>
  <si>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</si>
  <si>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</si>
  <si>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</si>
  <si>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</si>
  <si>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</si>
  <si>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</si>
  <si>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</si>
  <si>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</si>
  <si>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</si>
  <si>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</si>
  <si>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</si>
  <si>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1998-1999</t>
  </si>
  <si>
    <t>SUCUMBIOS</t>
  </si>
  <si>
    <t>ORELLANA</t>
  </si>
  <si>
    <t>Provincia</t>
  </si>
  <si>
    <t>Período/año</t>
  </si>
  <si>
    <t>Final del período</t>
  </si>
  <si>
    <t>% según período</t>
  </si>
  <si>
    <t>% según provincia, período                1950 -1998</t>
  </si>
  <si>
    <t>Se usa el dato de población de inicio del período</t>
  </si>
  <si>
    <t>Se usa el dato de población de final del período</t>
  </si>
  <si>
    <t>% según                      período</t>
  </si>
  <si>
    <t>% según provincia, período                1950 -1982</t>
  </si>
  <si>
    <t>Porcentaje promedio de cada provincia</t>
  </si>
  <si>
    <t xml:space="preserve">Al inicio del período, excepto para 93-98 donde se usa el dato de 1990 </t>
  </si>
  <si>
    <t>Período</t>
  </si>
  <si>
    <t>GRÁFICOS</t>
  </si>
  <si>
    <t>TABLA 1.</t>
  </si>
  <si>
    <t>TABLA 2.</t>
  </si>
  <si>
    <t>Año</t>
  </si>
  <si>
    <t>Inmigración Neta 1974-1982</t>
  </si>
  <si>
    <t>Inmigración Neta 1983-1990</t>
  </si>
  <si>
    <t>Inmigración Neta 1974-1990</t>
  </si>
  <si>
    <t>Emigración Neta 1974-1982</t>
  </si>
  <si>
    <t>Emigración Neta 1983-1990</t>
  </si>
  <si>
    <t>Otros Países</t>
  </si>
  <si>
    <t>Se ignora o zonas no delimitadas</t>
  </si>
  <si>
    <t>Inicio del Período</t>
  </si>
  <si>
    <t>Migración</t>
  </si>
  <si>
    <t>Turistas Nacional al PNG</t>
  </si>
  <si>
    <t>Total Turistas</t>
  </si>
  <si>
    <t>TURISTAS</t>
  </si>
  <si>
    <t>Nacionales</t>
  </si>
  <si>
    <t>Extranjeros</t>
  </si>
  <si>
    <t>Promedio diario</t>
  </si>
  <si>
    <t>Población</t>
  </si>
  <si>
    <t>Ingresos por Período</t>
  </si>
  <si>
    <t>Turistas Extranjeros al PNG</t>
  </si>
  <si>
    <t>(en miles)</t>
  </si>
  <si>
    <t>miles de millones 1975 sucres</t>
  </si>
  <si>
    <t>% variación anual (1975 sucres)</t>
  </si>
  <si>
    <t>Dólares corrientes</t>
  </si>
  <si>
    <t>Sucres corrientes</t>
  </si>
  <si>
    <t>Nominal + otras compensaciones</t>
  </si>
  <si>
    <t>Base: sept 94 - agosto 95</t>
  </si>
  <si>
    <t>Base: sep 94- ago 95  Grupo de Bienes: Alimentos</t>
  </si>
  <si>
    <t>Base: sep 94- ago 95   Grupo de Bienes: Vivienda</t>
  </si>
  <si>
    <t>Base: sept 94- ago 95</t>
  </si>
  <si>
    <t>Sucres por 1 dólar</t>
  </si>
  <si>
    <t>Ingresos Propios sobre Gastos Totales (%)</t>
  </si>
  <si>
    <t>Ingresos Propios sobre Ingreso Total (%)</t>
  </si>
  <si>
    <t>Ingresos Propios sobre Gasto Corriente (%)</t>
  </si>
  <si>
    <t>Inversión sobre Gasto Total (%)</t>
  </si>
  <si>
    <t>Inversión por habitante (en miles de sucres de 1975)</t>
  </si>
  <si>
    <t>Trabajadores de la construcción en la PEA (%)</t>
  </si>
  <si>
    <t>Migración de final de período</t>
  </si>
  <si>
    <t>Migración 5 años antes</t>
  </si>
  <si>
    <t>Datos de población</t>
  </si>
  <si>
    <t>D</t>
  </si>
  <si>
    <t>Ecuador: Indicadores macroeconómicos</t>
  </si>
  <si>
    <t>Promedio anual de precios al consumidor urbano, a diciembre</t>
  </si>
  <si>
    <t>Millones                      dólares corrientes</t>
  </si>
  <si>
    <t>Ecuador: Indicadores de vivienda y servicios públicos</t>
  </si>
  <si>
    <t>Ecuador: Indicadores de educación</t>
  </si>
  <si>
    <t>Incidencia de la pobreza (%)</t>
  </si>
  <si>
    <t xml:space="preserve"> Incidencia de la extrema pobreza (%)</t>
  </si>
  <si>
    <t>Indice de necesidades básicas insatisfechas</t>
  </si>
  <si>
    <t>Trabajadores del comercio en la PEA (%)</t>
  </si>
  <si>
    <t>Ecuador: Indicadores demográficos</t>
  </si>
  <si>
    <t>Ecuador: Indicadores de violencia</t>
  </si>
  <si>
    <t>Ecuador: datos sobre migraciones internas</t>
  </si>
  <si>
    <t>Galápagos: datos sobre flujos migratorios</t>
  </si>
  <si>
    <t>Población Económicamente Activa  (PEA)</t>
  </si>
  <si>
    <t>Población Económicamente Activa sobre la población total</t>
  </si>
  <si>
    <t>Trabajadores agrícolas en la PEA (%)</t>
  </si>
  <si>
    <t>Trabajadores de los servicios en la PEA (%)</t>
  </si>
  <si>
    <t>Migración hacia Galápagos según provincia</t>
  </si>
  <si>
    <t>Porcentaje de la población provincial desplazado a Galápagos</t>
  </si>
  <si>
    <t>Porcentaje de emigrantes que se dirigen a cada provincia</t>
  </si>
  <si>
    <t>Promedio de emigrantes que se desplazan a cada provincia</t>
  </si>
  <si>
    <t>Km2</t>
  </si>
  <si>
    <t>Hab/Km2</t>
  </si>
  <si>
    <t>Porcentaje de migración a Galápagos por provincia,                      1950 -1998</t>
  </si>
  <si>
    <t>Porcentaje de la población que se desplaza a Galápagos, 1950 - 1998</t>
  </si>
  <si>
    <t>Porcentaje de emigrantes de Galápagos a otras provincias, 1962 - 1990</t>
  </si>
  <si>
    <t>Gran Total</t>
  </si>
  <si>
    <t>2) Estadísticas del Banco Central y proyecciones</t>
  </si>
  <si>
    <t>Población total (1)</t>
  </si>
  <si>
    <t>PIB real (2)</t>
  </si>
  <si>
    <t>Crecimiento del PIB real (3)</t>
  </si>
  <si>
    <t xml:space="preserve">PIB real per cápita (4) </t>
  </si>
  <si>
    <t>5) Estadísticas del Banco Central</t>
  </si>
  <si>
    <t>1) Estadísticas del Banco Central hasta 1994  y proyecciones de población para los periodos intercensales.  El dato del 2001 proviene del censo nacional de ese año</t>
  </si>
  <si>
    <t>PIB (5)</t>
  </si>
  <si>
    <t>PIB per cápita (6)</t>
  </si>
  <si>
    <t>Tasa de desempleo (7)</t>
  </si>
  <si>
    <t>Tasa de inflación (8)</t>
  </si>
  <si>
    <t>8) Estadísticas del Banco Central para el período 1983-1999. Los datos del 2000 y 2001 provienen de la Cámara de Comercio</t>
  </si>
  <si>
    <t>Salario mínimo vital (9)</t>
  </si>
  <si>
    <t>9) Estadísticas del Banco Central</t>
  </si>
  <si>
    <t>Variación anual del índice ponderado de precios al consumidor (10)</t>
  </si>
  <si>
    <t>Variación anual del índice ponderado de precios al consumidor (11)</t>
  </si>
  <si>
    <t>10) Estadísticas del Banco Central: Indice para familias de ingreso bajo y medio en Quito, Guayaquil y Cuenca</t>
  </si>
  <si>
    <t>Variación anual del índice ponderado de precios al consumidor (12)</t>
  </si>
  <si>
    <t>Indice ponderado de precios al consumidor (13)</t>
  </si>
  <si>
    <t>Tasa de cambio (14)</t>
  </si>
  <si>
    <t>3) Idem</t>
  </si>
  <si>
    <t>4) Idem</t>
  </si>
  <si>
    <t>6) Idem</t>
  </si>
  <si>
    <t>7) Idem</t>
  </si>
  <si>
    <t>11) Idem</t>
  </si>
  <si>
    <t>12) Idem</t>
  </si>
  <si>
    <t>13) Idem</t>
  </si>
  <si>
    <t>Notas:</t>
  </si>
  <si>
    <t>1) Censos nacionales de 1974, 1982 y 1990</t>
  </si>
  <si>
    <r>
      <t>Notas</t>
    </r>
    <r>
      <rPr>
        <sz val="9"/>
        <rFont val="Arial"/>
        <family val="0"/>
      </rPr>
      <t>:</t>
    </r>
  </si>
  <si>
    <t>Unidades de vivienda (1)</t>
  </si>
  <si>
    <t>Viviendas con servicios de electricidad (%) (2)</t>
  </si>
  <si>
    <t>2) Idem</t>
  </si>
  <si>
    <t>Viviendas con alcantarillado (%) (3)</t>
  </si>
  <si>
    <t>4) Censos Nacionales de 1982 y 1990</t>
  </si>
  <si>
    <t>Viviendas con abastecimiento de agua de la red pública (%) (4)</t>
  </si>
  <si>
    <t>Indice de vivienda (5)</t>
  </si>
  <si>
    <t>5) SIISE (2001) versión 2.0</t>
  </si>
  <si>
    <t>Viviendas con servicio de recolección de basura (%) (6)</t>
  </si>
  <si>
    <t>Viviendas con hacinamiento (%) (7)</t>
  </si>
  <si>
    <t>8) Idem</t>
  </si>
  <si>
    <t>9) Idem</t>
  </si>
  <si>
    <t>Viviendas con saneamiento básico (%) (8)</t>
  </si>
  <si>
    <t>Viviendas con agua potable (%) (9)</t>
  </si>
  <si>
    <t>Analfabetismo de mayores de 10 años (%) (1)</t>
  </si>
  <si>
    <t>Población de 6 años y más con instrucción superior (%) (2)</t>
  </si>
  <si>
    <t>Alumnos por profesor (4)</t>
  </si>
  <si>
    <t>Inversión pública en educación por alumno (5)</t>
  </si>
  <si>
    <t>Tasa de asistencia superior (%) (3)</t>
  </si>
  <si>
    <t>Indice de Desarrollo Educativo (6)</t>
  </si>
  <si>
    <t>Tasa de asistencia primaria (%) (7)</t>
  </si>
  <si>
    <t>Tasa de asistencia secundaria (%) (8</t>
  </si>
  <si>
    <r>
      <t>Notas</t>
    </r>
    <r>
      <rPr>
        <sz val="10"/>
        <rFont val="Arial"/>
        <family val="0"/>
      </rPr>
      <t>:</t>
    </r>
  </si>
  <si>
    <t>1) INEC - Censos Nacionales de 1974, 1982 y 1990</t>
  </si>
  <si>
    <t>3) INEC- Censo Nacional de 1990. Datos no disponibles para los años anteriores</t>
  </si>
  <si>
    <t>4) SIISE 2001 versión 2.0</t>
  </si>
  <si>
    <t>5) SIISE 2001 versión 2.0  La inversión pública por provincia / $ / alumno</t>
  </si>
  <si>
    <t>6) SIISE 2001 versión 2.0</t>
  </si>
  <si>
    <t>7) INEC- Censo Nacional de 1990. Datos no disponibles para los años anteriores</t>
  </si>
  <si>
    <t>Desnutrición de niños menores de 5 años (%) (1)</t>
  </si>
  <si>
    <t>Personal de salud por 10.000 hab (2)</t>
  </si>
  <si>
    <t>Establecimientos de salud sin internación (por 10.000 hab) (3)</t>
  </si>
  <si>
    <t>Indice de Salud (4)</t>
  </si>
  <si>
    <t>Ecuador: Indicadores de salud (1)</t>
  </si>
  <si>
    <r>
      <t>Nota</t>
    </r>
    <r>
      <rPr>
        <sz val="9"/>
        <rFont val="Arial"/>
        <family val="0"/>
      </rPr>
      <t>:</t>
    </r>
  </si>
  <si>
    <t>Ecuador: Indicadores de pobreza (1)</t>
  </si>
  <si>
    <t>(1) Todos estos datos son de: ODEPLAN 2000, Base de datos INFOPLAN</t>
  </si>
  <si>
    <t>(1) Todos estos datos son de: SIISE 2001 versión 2.0</t>
  </si>
  <si>
    <t>Ecuador: Indicadores de gestión municipal (1)</t>
  </si>
  <si>
    <t>Ecuador: Indicadores de la PEA (1)</t>
  </si>
  <si>
    <t>Promedio de hijos por mujer en edad fértil (1)</t>
  </si>
  <si>
    <t>Tasa Global de Fecundidad (2)</t>
  </si>
  <si>
    <t>1) SIISE 2001, versión 2.0</t>
  </si>
  <si>
    <t>Tasa de defunciones por homicidio (%) (2)</t>
  </si>
  <si>
    <t>Accidentes de tránsito total (1)</t>
  </si>
  <si>
    <t>1) Padilla 2001. Indicadores de Desarrollo Económico Provincial</t>
  </si>
  <si>
    <t>Denuncias de robos y asaltos (por 100 mil habitantes) (3)</t>
  </si>
  <si>
    <t>Apéndice de Datos</t>
  </si>
  <si>
    <t xml:space="preserve">   1993-98  Tabla 14, Informe MIGAMA, Fundación Natura y TNC (2000,a)</t>
  </si>
  <si>
    <t xml:space="preserve">   1962-74  Tabla 7 Informe MIGAMA, Fundación Natura and TNC (2000,a). </t>
  </si>
  <si>
    <t xml:space="preserve">   1950-62  Tabla 6, Informe MIGAMA, Fundación Natura y TNC (2000,a).</t>
  </si>
  <si>
    <t>1) Fuentes:</t>
  </si>
  <si>
    <t>MIGRACIÓN POR LUGAR DE NACIMIENTO (1)</t>
  </si>
  <si>
    <t>Immigrantes a Galápagos según provincia (2)</t>
  </si>
  <si>
    <t xml:space="preserve">   Tabla 14, Informe MIGAMA para "Otros países" y "Se ignora".    </t>
  </si>
  <si>
    <t xml:space="preserve">   Table 14, Informe MIGAMA para "Otros países" y "Se ignora" </t>
  </si>
  <si>
    <t xml:space="preserve">   1974-83 INEC 1994  ver  Hoja Metodológica en este archivo (worksheet 2)      </t>
  </si>
  <si>
    <t xml:space="preserve">   1983-90  INEC 1994 ver  Hoja Metodológica en este archivo (worksheet 2)      </t>
  </si>
  <si>
    <t>Para Inmigración:</t>
  </si>
  <si>
    <t xml:space="preserve">Para Emigración: INEC 1994 </t>
  </si>
  <si>
    <t>Población a nivel provincial: Censos Nacionales de 1950, 1962, 1974, 1982, 1990 y Censo de Galápagos de 1998</t>
  </si>
  <si>
    <t>Área de la provincia: Padilla (2001)</t>
  </si>
  <si>
    <t>Emigrantes desde Galápagos a las provincias (3)</t>
  </si>
  <si>
    <t>2) Inmigrantes: personas que viven en Galápagos al final del período aunque nacieron en otra provincia. Ver la hoja de trabajo siguiente para conocer la metodología usada para la estimación del número de inmigrantes</t>
  </si>
  <si>
    <t>3) Emigrantes: para el período 1962 - 1974, esta variable se refiere a la emigración neta hasta 1974</t>
  </si>
  <si>
    <t>Población de la provincia (miles de habitantes) (4)</t>
  </si>
  <si>
    <t>4) Para el caso de  Galápagos,  el dato de población excluye a los turistas. Para el  2001, se estimó el número de turistas en 743</t>
  </si>
  <si>
    <t>Area de la provincia (5)</t>
  </si>
  <si>
    <t>5) Area de la provincia: en el caso de Galápagos se considera solo el área que  no pertenece al Parque Nacional</t>
  </si>
  <si>
    <t>Densidad poblacional (6)</t>
  </si>
  <si>
    <t>6) Densidad poblacional: dato calculado en este estudio</t>
  </si>
  <si>
    <t>INMIGRACIÓN NETA POR PROVINCIA PARA LOS PERIODOS 1974-1981 - 1982-1990  (1)</t>
  </si>
  <si>
    <t>EMIGRACIÓN NETA POR PROVINCIA PARA LOS PERIODOS 1974-1981 - 1982-1990  (2)</t>
  </si>
  <si>
    <t>1) Fuentes: INEC, Ecuador: Migraciones interprovinciales absolutas acumuladas hasta los años 1974, 1982, 1990. Quito, 1994</t>
  </si>
  <si>
    <t>Definición: inmigrantes son las personas empadronadas en Galápagos en día del Censo aunque nacieron en otras provincias.</t>
  </si>
  <si>
    <t xml:space="preserve">La migración entre 1974 y 1982 es la diferencia entre los totales de 1982 y de 1974. Se ignora el dato de los inmigrantes por lo que se considera aquí solo la migración neta </t>
  </si>
  <si>
    <t>2) Emigrantes son las personas nacidas en Galápagos que el día del censo se empadronaron en otras provincias</t>
  </si>
  <si>
    <t>Residencia habitual (1)</t>
  </si>
  <si>
    <t>Inmigración (3)</t>
  </si>
  <si>
    <t>Emigración (4)</t>
  </si>
  <si>
    <t xml:space="preserve">b) El valor "0" para las variables de 'inmigración' y 'emigración' significa que no hay datos.             </t>
  </si>
  <si>
    <t xml:space="preserve">a) La población migrante incluye los individuos mayores de 5 años.             </t>
  </si>
  <si>
    <t xml:space="preserve">c) En 1974 y 1982, la pregunta fue: ¿dónde vivía antes? ¿hace cuánto tiempo?. En 1990, ¿dónde vivía usted hace 5 años?  </t>
  </si>
  <si>
    <t xml:space="preserve">    En 1974 y 1982 se tomó los datos de las personas que habían vivido en Galápagos hace 0-5 años y luego se los clasificó </t>
  </si>
  <si>
    <t xml:space="preserve">    por  'provincia de residencia actual'</t>
  </si>
  <si>
    <t xml:space="preserve"> considera migrantes de retorno, personas que vivieron y volvieron a Galápagos en el periodo de los últimos 5 años</t>
  </si>
  <si>
    <t xml:space="preserve">3) Las '147' personas que salieron y volvieron a Galápagos en 1974 no son el total de la población no-migrante, sino lo que el INEC </t>
  </si>
  <si>
    <r>
      <t>2)</t>
    </r>
    <r>
      <rPr>
        <sz val="8"/>
        <rFont val="Arial"/>
        <family val="0"/>
      </rPr>
      <t xml:space="preserve"> Explicaciones:</t>
    </r>
  </si>
  <si>
    <t>1) Los datos de esta tabla provienen de los censos nacionales de 1974, 1982, 1990 y del Censo de  Galápagos de 1998</t>
  </si>
  <si>
    <t xml:space="preserve">1) Datos de los censos de 1950, 1962, 1974, 1982, 1990, </t>
  </si>
  <si>
    <t xml:space="preserve">2) Datos de los censos de 1950, 1962, 1974, 1982, 1990 y del Censo de Galápagos 1998.  </t>
  </si>
  <si>
    <t>Para 1998 y el 2001 se excluye a turistas</t>
  </si>
  <si>
    <t>y del Censo de Galápagos 1998. Para 1998 y el 2001 se incluye  a turistas</t>
  </si>
  <si>
    <t>3) Los datos de migración se obtuvieron de la hoja de trabajo 1 "migración por lugar de nacimiento"</t>
  </si>
  <si>
    <t xml:space="preserve">Población Residente (1) </t>
  </si>
  <si>
    <t>Población Residente (2)</t>
  </si>
  <si>
    <t>Inmigración Total (3)</t>
  </si>
  <si>
    <t>Emigración Total (4)</t>
  </si>
  <si>
    <t>Crecimiento Neto de Migración (5)</t>
  </si>
  <si>
    <t>5) Calculado en este estudio</t>
  </si>
  <si>
    <t>Crecimiento por Inmigración (6)</t>
  </si>
  <si>
    <t>Tasa de Crecimiento Poblacional (7)</t>
  </si>
  <si>
    <t>Pérdida por Emigración (8)</t>
  </si>
  <si>
    <t>Crecimiento por Inmigración (9)</t>
  </si>
  <si>
    <t>Crecimiento Neto de Migración (10)</t>
  </si>
  <si>
    <t>10) Idem</t>
  </si>
  <si>
    <t>Crecimiento por razones distintas a migración (11)</t>
  </si>
  <si>
    <t>Tasa anual crecimiento poblacional (12)</t>
  </si>
  <si>
    <t>12) Calculado en este estudio. Incluye turistas en 1998 y 2001</t>
  </si>
  <si>
    <t>13) Calculado en este estudio. Excluye turistas en 1998 y 2001</t>
  </si>
  <si>
    <t>14) Ingala 2001, Informe sobre Control de Residencia en Galápagos</t>
  </si>
  <si>
    <t>Permanentes (14) - (15)</t>
  </si>
  <si>
    <t>Tasa anual crecimiento poblacional (13)</t>
  </si>
  <si>
    <t>16) Ingala 2001, Informe sobre Control de Residencia en Galápagos</t>
  </si>
  <si>
    <t xml:space="preserve">    Número de residentes  permanentes por año: 1998: 1.601, 1999: 9.559, 2000:14.610, 2001:13.831</t>
  </si>
  <si>
    <t>17) El dato de 1998 puede estar subestimado pues el INGALA empezó el control migratorio en ese año</t>
  </si>
  <si>
    <t>15) El dato de 1998 pueden estar subestimado pues el INGALA empezó el control migratorio en ese año</t>
  </si>
  <si>
    <t>Temporales (16) - (17)</t>
  </si>
  <si>
    <t>18) Ingala 2001, Informe sobre Control de Residencia en Galápagos</t>
  </si>
  <si>
    <t xml:space="preserve">    Número de residentes temporales por año: 1998: 675, 1999: 5.538, 2000: 8.043, 2001: 6.245</t>
  </si>
  <si>
    <t xml:space="preserve">    Número de transeúntes por año: 1998: 205, 1999: 1525, 2000: 1617, 2001: 1400</t>
  </si>
  <si>
    <t>Transeúntes (18) - (19)</t>
  </si>
  <si>
    <t>19) Los datos para 1998 podrían estar subestimados pues el INGALA empezó el control migratorio ese año</t>
  </si>
  <si>
    <t>14) Estadísticas del Banco Central</t>
  </si>
  <si>
    <t>Pasajeros transportados desde y hacia Galápagos (en miles)</t>
  </si>
  <si>
    <t>Turistas</t>
  </si>
  <si>
    <t>Residentes</t>
  </si>
  <si>
    <t xml:space="preserve">Total </t>
  </si>
  <si>
    <t>Fuente: TAME</t>
  </si>
  <si>
    <r>
      <t>Nota</t>
    </r>
    <r>
      <rPr>
        <sz val="10"/>
        <color indexed="8"/>
        <rFont val="Times New Roman"/>
        <family val="1"/>
      </rPr>
      <t>: se excluye pasajeros con tarifas especiales, tarifas de grupo, promociones, cortesía.</t>
    </r>
  </si>
</sst>
</file>

<file path=xl/styles.xml><?xml version="1.0" encoding="utf-8"?>
<styleSheet xmlns="http://schemas.openxmlformats.org/spreadsheetml/2006/main">
  <numFmts count="67">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_P_t_a_-;\-* #,##0\ _P_t_a_-;_-* &quot;-&quot;\ _P_t_a_-;_-@_-"/>
    <numFmt numFmtId="165" formatCode="_-* #,##0.00\ _P_t_a_-;\-* #,##0.00\ _P_t_a_-;_-* &quot;-&quot;??\ _P_t_a_-;_-@_-"/>
    <numFmt numFmtId="166" formatCode="&quot;S/.&quot;\ #,##0;&quot;S/.&quot;\ \-#,##0"/>
    <numFmt numFmtId="167" formatCode="&quot;S/.&quot;\ #,##0;[Red]&quot;S/.&quot;\ \-#,##0"/>
    <numFmt numFmtId="168" formatCode="&quot;S/.&quot;\ #,##0.00;&quot;S/.&quot;\ \-#,##0.00"/>
    <numFmt numFmtId="169" formatCode="&quot;S/.&quot;\ #,##0.00;[Red]&quot;S/.&quot;\ \-#,##0.00"/>
    <numFmt numFmtId="170" formatCode="_ &quot;S/.&quot;\ * #,##0_ ;_ &quot;S/.&quot;\ * \-#,##0_ ;_ &quot;S/.&quot;\ * &quot;-&quot;_ ;_ @_ "/>
    <numFmt numFmtId="171" formatCode="_ * #,##0_ ;_ * \-#,##0_ ;_ * &quot;-&quot;_ ;_ @_ "/>
    <numFmt numFmtId="172" formatCode="_ &quot;S/.&quot;\ * #,##0.00_ ;_ &quot;S/.&quot;\ * \-#,##0.00_ ;_ &quot;S/.&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 &quot;$&quot;* #,##0_ ;_ &quot;$&quot;* \-#,##0_ ;_ &quot;$&quot;* &quot;-&quot;_ ;_ @_ "/>
    <numFmt numFmtId="179" formatCode="_ &quot;$&quot;* #,##0.00_ ;_ &quot;$&quot;* \-#,##0.00_ ;_ &quot;$&quot;*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S/&quot;#,##0;&quot;S/&quot;\-#,##0"/>
    <numFmt numFmtId="189" formatCode="&quot;S/&quot;#,##0;[Red]&quot;S/&quot;\-#,##0"/>
    <numFmt numFmtId="190" formatCode="&quot;S/&quot;#,##0.00;&quot;S/&quot;\-#,##0.00"/>
    <numFmt numFmtId="191" formatCode="&quot;S/&quot;#,##0.00;[Red]&quot;S/&quot;\-#,##0.00"/>
    <numFmt numFmtId="192" formatCode="_ &quot;S/&quot;* #,##0_ ;_ &quot;S/&quot;* \-#,##0_ ;_ &quot;S/&quot;* &quot;-&quot;_ ;_ @_ "/>
    <numFmt numFmtId="193" formatCode="_ &quot;S/&quot;* #,##0.00_ ;_ &quot;S/&quot;* \-#,##0.00_ ;_ &quot;S/&quot;* &quot;-&quot;??_ ;_ @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0%"/>
    <numFmt numFmtId="203" formatCode="0.0000000"/>
    <numFmt numFmtId="204" formatCode="0.000000"/>
    <numFmt numFmtId="205" formatCode="0.00000"/>
    <numFmt numFmtId="206" formatCode="0.0000"/>
    <numFmt numFmtId="207" formatCode="0.000"/>
    <numFmt numFmtId="208" formatCode="0.0"/>
    <numFmt numFmtId="209" formatCode="0.00000000"/>
    <numFmt numFmtId="210" formatCode="0.0000000000"/>
    <numFmt numFmtId="211" formatCode="0.000000000"/>
    <numFmt numFmtId="212" formatCode="0.000%"/>
    <numFmt numFmtId="213" formatCode="&quot;Yes&quot;;&quot;Yes&quot;;&quot;No&quot;"/>
    <numFmt numFmtId="214" formatCode="&quot;True&quot;;&quot;True&quot;;&quot;False&quot;"/>
    <numFmt numFmtId="215" formatCode="&quot;On&quot;;&quot;On&quot;;&quot;Off&quot;"/>
    <numFmt numFmtId="216" formatCode="#,##0.00;[Red]#,##0.00"/>
    <numFmt numFmtId="217" formatCode="_ * #,##0.0_ ;_ * \-#,##0.0_ ;_ * &quot;-&quot;??_ ;_ @_ "/>
    <numFmt numFmtId="218" formatCode="_ * #,##0_ ;_ * \-#,##0_ ;_ * &quot;-&quot;??_ ;_ @_ "/>
    <numFmt numFmtId="219" formatCode="#,##0.000;[Red]#,##0.000"/>
    <numFmt numFmtId="220" formatCode="#,##0.0000;[Red]#,##0.0000"/>
    <numFmt numFmtId="221" formatCode="#,##0.00000;[Red]#,##0.00000"/>
    <numFmt numFmtId="222" formatCode="#,##0.0;[Red]#,##0.0"/>
  </numFmts>
  <fonts count="28">
    <font>
      <sz val="10"/>
      <name val="Arial"/>
      <family val="0"/>
    </font>
    <font>
      <b/>
      <sz val="10"/>
      <name val="Arial"/>
      <family val="2"/>
    </font>
    <font>
      <sz val="8"/>
      <name val="Arial"/>
      <family val="2"/>
    </font>
    <font>
      <b/>
      <sz val="8"/>
      <name val="Tahoma"/>
      <family val="0"/>
    </font>
    <font>
      <b/>
      <sz val="8"/>
      <name val="Arial"/>
      <family val="2"/>
    </font>
    <font>
      <b/>
      <sz val="7"/>
      <name val="Arial"/>
      <family val="2"/>
    </font>
    <font>
      <sz val="8"/>
      <name val="Tahoma"/>
      <family val="0"/>
    </font>
    <font>
      <u val="single"/>
      <sz val="10"/>
      <color indexed="12"/>
      <name val="Arial"/>
      <family val="0"/>
    </font>
    <font>
      <u val="single"/>
      <sz val="10"/>
      <color indexed="36"/>
      <name val="Arial"/>
      <family val="0"/>
    </font>
    <font>
      <b/>
      <sz val="9"/>
      <name val="Arial"/>
      <family val="2"/>
    </font>
    <font>
      <sz val="9"/>
      <name val="Arial"/>
      <family val="2"/>
    </font>
    <font>
      <b/>
      <sz val="7"/>
      <name val="Tahoma"/>
      <family val="2"/>
    </font>
    <font>
      <sz val="14"/>
      <name val="Arial"/>
      <family val="2"/>
    </font>
    <font>
      <u val="single"/>
      <sz val="10"/>
      <name val="Arial"/>
      <family val="0"/>
    </font>
    <font>
      <u val="single"/>
      <sz val="8"/>
      <name val="Arial"/>
      <family val="0"/>
    </font>
    <font>
      <u val="single"/>
      <sz val="9"/>
      <name val="Arial"/>
      <family val="0"/>
    </font>
    <font>
      <sz val="7"/>
      <name val="Tahoma"/>
      <family val="0"/>
    </font>
    <font>
      <sz val="10.25"/>
      <name val="Arial"/>
      <family val="0"/>
    </font>
    <font>
      <b/>
      <sz val="10.25"/>
      <name val="Arial"/>
      <family val="0"/>
    </font>
    <font>
      <sz val="9.5"/>
      <name val="Arial"/>
      <family val="0"/>
    </font>
    <font>
      <b/>
      <sz val="9.5"/>
      <name val="Arial"/>
      <family val="0"/>
    </font>
    <font>
      <sz val="9.25"/>
      <name val="Arial"/>
      <family val="0"/>
    </font>
    <font>
      <b/>
      <sz val="9.25"/>
      <name val="Arial"/>
      <family val="0"/>
    </font>
    <font>
      <b/>
      <sz val="10"/>
      <name val="Times New Roman"/>
      <family val="1"/>
    </font>
    <font>
      <b/>
      <sz val="10"/>
      <color indexed="8"/>
      <name val="Times New Roman"/>
      <family val="1"/>
    </font>
    <font>
      <sz val="10"/>
      <color indexed="8"/>
      <name val="Times New Roman"/>
      <family val="1"/>
    </font>
    <font>
      <sz val="10"/>
      <name val="Times New Roman"/>
      <family val="1"/>
    </font>
    <font>
      <u val="single"/>
      <sz val="10"/>
      <color indexed="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28">
    <border>
      <left/>
      <right/>
      <top/>
      <bottom/>
      <diagonal/>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4" fillId="0" borderId="0" xfId="0" applyFont="1" applyAlignment="1">
      <alignment horizontal="center" vertical="center" wrapText="1"/>
    </xf>
    <xf numFmtId="0" fontId="0" fillId="0" borderId="1" xfId="0" applyBorder="1" applyAlignment="1">
      <alignment/>
    </xf>
    <xf numFmtId="0" fontId="0" fillId="2" borderId="0" xfId="0" applyFill="1" applyAlignment="1">
      <alignment/>
    </xf>
    <xf numFmtId="0" fontId="4" fillId="2"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4" fillId="3" borderId="3" xfId="0" applyFont="1" applyFill="1" applyBorder="1" applyAlignment="1">
      <alignment horizont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3" borderId="3" xfId="0" applyFont="1" applyFill="1" applyBorder="1" applyAlignment="1">
      <alignment horizont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9" fillId="3" borderId="2" xfId="0" applyFont="1" applyFill="1" applyBorder="1" applyAlignment="1">
      <alignment horizontal="center" wrapText="1"/>
    </xf>
    <xf numFmtId="0" fontId="4" fillId="3" borderId="4" xfId="0" applyFont="1" applyFill="1" applyBorder="1" applyAlignment="1">
      <alignment horizontal="center" wrapText="1"/>
    </xf>
    <xf numFmtId="0" fontId="3" fillId="4" borderId="5" xfId="0" applyFont="1" applyFill="1" applyBorder="1" applyAlignment="1">
      <alignment horizontal="center" vertical="center"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3" fillId="4" borderId="7" xfId="0" applyFont="1" applyFill="1" applyBorder="1" applyAlignment="1">
      <alignment horizontal="center" vertical="center" wrapText="1"/>
    </xf>
    <xf numFmtId="0" fontId="4" fillId="3" borderId="2" xfId="0" applyFont="1" applyFill="1" applyBorder="1" applyAlignment="1">
      <alignment horizont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9" fillId="3" borderId="3" xfId="0" applyFont="1" applyFill="1" applyBorder="1" applyAlignment="1">
      <alignment horizontal="center" wrapText="1"/>
    </xf>
    <xf numFmtId="0" fontId="9" fillId="3" borderId="3" xfId="0" applyFont="1" applyFill="1" applyBorder="1" applyAlignment="1">
      <alignment horizontal="center"/>
    </xf>
    <xf numFmtId="0" fontId="9" fillId="3" borderId="4" xfId="0" applyFont="1" applyFill="1" applyBorder="1" applyAlignment="1">
      <alignment horizontal="center"/>
    </xf>
    <xf numFmtId="0" fontId="10" fillId="2" borderId="0" xfId="0" applyFont="1" applyFill="1" applyAlignment="1">
      <alignment/>
    </xf>
    <xf numFmtId="0" fontId="1" fillId="4" borderId="8" xfId="0" applyFont="1" applyFill="1" applyBorder="1" applyAlignment="1">
      <alignment horizontal="center" vertical="center"/>
    </xf>
    <xf numFmtId="0" fontId="1" fillId="4" borderId="9" xfId="0" applyFont="1" applyFill="1" applyBorder="1" applyAlignment="1">
      <alignment horizontal="center"/>
    </xf>
    <xf numFmtId="0" fontId="1" fillId="5" borderId="10" xfId="0" applyFont="1" applyFill="1" applyBorder="1" applyAlignment="1">
      <alignment/>
    </xf>
    <xf numFmtId="0" fontId="1" fillId="4" borderId="6" xfId="0" applyFont="1" applyFill="1" applyBorder="1" applyAlignment="1">
      <alignment/>
    </xf>
    <xf numFmtId="0" fontId="4" fillId="3" borderId="2" xfId="0" applyFont="1" applyFill="1" applyBorder="1" applyAlignment="1">
      <alignment horizontal="center"/>
    </xf>
    <xf numFmtId="0" fontId="1" fillId="4" borderId="5" xfId="0" applyFont="1" applyFill="1" applyBorder="1" applyAlignment="1">
      <alignment horizontal="center" vertical="center"/>
    </xf>
    <xf numFmtId="0" fontId="1" fillId="2" borderId="0" xfId="0" applyFont="1" applyFill="1" applyAlignment="1">
      <alignment horizontal="left"/>
    </xf>
    <xf numFmtId="0" fontId="0" fillId="2" borderId="11" xfId="0" applyFill="1" applyBorder="1" applyAlignment="1">
      <alignment horizontal="center"/>
    </xf>
    <xf numFmtId="0" fontId="0" fillId="2" borderId="12" xfId="0" applyFill="1" applyBorder="1" applyAlignment="1">
      <alignment/>
    </xf>
    <xf numFmtId="0" fontId="0" fillId="2" borderId="13" xfId="0" applyFill="1" applyBorder="1" applyAlignment="1">
      <alignment/>
    </xf>
    <xf numFmtId="0" fontId="0" fillId="2" borderId="1" xfId="0" applyFill="1" applyBorder="1" applyAlignment="1">
      <alignment horizontal="center"/>
    </xf>
    <xf numFmtId="0" fontId="0" fillId="2" borderId="9" xfId="0" applyFill="1" applyBorder="1" applyAlignment="1">
      <alignment/>
    </xf>
    <xf numFmtId="0" fontId="0" fillId="2" borderId="14"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7" xfId="0" applyFill="1" applyBorder="1" applyAlignment="1">
      <alignment/>
    </xf>
    <xf numFmtId="0" fontId="1" fillId="2" borderId="0" xfId="0" applyFont="1" applyFill="1" applyAlignment="1">
      <alignment/>
    </xf>
    <xf numFmtId="0" fontId="2" fillId="2" borderId="0" xfId="0" applyFont="1" applyFill="1" applyAlignment="1">
      <alignment horizontal="center" vertical="center" wrapText="1"/>
    </xf>
    <xf numFmtId="0" fontId="0" fillId="2" borderId="6" xfId="0" applyFont="1" applyFill="1" applyBorder="1" applyAlignment="1">
      <alignment/>
    </xf>
    <xf numFmtId="0" fontId="0" fillId="2" borderId="5" xfId="0" applyFill="1" applyBorder="1" applyAlignment="1">
      <alignment horizontal="center"/>
    </xf>
    <xf numFmtId="0" fontId="1" fillId="2" borderId="5" xfId="0" applyFont="1" applyFill="1" applyBorder="1" applyAlignment="1">
      <alignment/>
    </xf>
    <xf numFmtId="0" fontId="0" fillId="2" borderId="5" xfId="0" applyFont="1" applyFill="1" applyBorder="1" applyAlignment="1">
      <alignment/>
    </xf>
    <xf numFmtId="2" fontId="0" fillId="2" borderId="7" xfId="0" applyNumberFormat="1" applyFont="1" applyFill="1" applyBorder="1" applyAlignment="1">
      <alignment/>
    </xf>
    <xf numFmtId="0" fontId="0" fillId="2" borderId="1" xfId="0" applyFont="1" applyFill="1" applyBorder="1" applyAlignment="1">
      <alignment/>
    </xf>
    <xf numFmtId="0" fontId="0" fillId="2" borderId="9" xfId="0" applyFill="1" applyBorder="1" applyAlignment="1">
      <alignment horizontal="center"/>
    </xf>
    <xf numFmtId="0" fontId="1" fillId="2" borderId="9" xfId="0" applyFont="1" applyFill="1" applyBorder="1" applyAlignment="1">
      <alignment/>
    </xf>
    <xf numFmtId="0" fontId="0" fillId="2" borderId="9" xfId="0" applyFont="1" applyFill="1" applyBorder="1" applyAlignment="1">
      <alignment/>
    </xf>
    <xf numFmtId="2" fontId="0" fillId="2" borderId="14" xfId="0" applyNumberFormat="1" applyFont="1" applyFill="1" applyBorder="1" applyAlignment="1">
      <alignment/>
    </xf>
    <xf numFmtId="1" fontId="0" fillId="2" borderId="9" xfId="0" applyNumberFormat="1" applyFont="1" applyFill="1" applyBorder="1" applyAlignment="1">
      <alignment/>
    </xf>
    <xf numFmtId="1" fontId="0" fillId="2" borderId="9" xfId="0" applyNumberFormat="1" applyFill="1" applyBorder="1" applyAlignment="1">
      <alignment/>
    </xf>
    <xf numFmtId="2" fontId="0" fillId="2" borderId="9" xfId="0" applyNumberFormat="1" applyFont="1" applyFill="1" applyBorder="1" applyAlignment="1">
      <alignment/>
    </xf>
    <xf numFmtId="0" fontId="0" fillId="2" borderId="2" xfId="0"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xf>
    <xf numFmtId="1" fontId="0" fillId="2" borderId="3" xfId="0" applyNumberFormat="1" applyFill="1" applyBorder="1" applyAlignment="1">
      <alignment/>
    </xf>
    <xf numFmtId="0" fontId="0" fillId="2" borderId="3" xfId="0" applyFont="1" applyFill="1" applyBorder="1" applyAlignment="1">
      <alignment/>
    </xf>
    <xf numFmtId="1" fontId="0" fillId="2" borderId="3" xfId="0" applyNumberFormat="1" applyFont="1" applyFill="1" applyBorder="1" applyAlignment="1">
      <alignment/>
    </xf>
    <xf numFmtId="2" fontId="0" fillId="2" borderId="4" xfId="0" applyNumberFormat="1" applyFont="1" applyFill="1" applyBorder="1" applyAlignment="1">
      <alignment/>
    </xf>
    <xf numFmtId="0" fontId="0" fillId="2" borderId="6" xfId="0" applyFill="1" applyBorder="1" applyAlignment="1">
      <alignment/>
    </xf>
    <xf numFmtId="10" fontId="0" fillId="2" borderId="5" xfId="21" applyNumberFormat="1" applyFill="1" applyBorder="1" applyAlignment="1">
      <alignment/>
    </xf>
    <xf numFmtId="212" fontId="0" fillId="2" borderId="5" xfId="21" applyNumberFormat="1" applyFill="1" applyBorder="1" applyAlignment="1">
      <alignment/>
    </xf>
    <xf numFmtId="0" fontId="0" fillId="2" borderId="15" xfId="0" applyFill="1" applyBorder="1" applyAlignment="1">
      <alignment/>
    </xf>
    <xf numFmtId="2" fontId="0" fillId="2" borderId="7" xfId="0" applyNumberFormat="1" applyFill="1" applyBorder="1" applyAlignment="1">
      <alignment/>
    </xf>
    <xf numFmtId="0" fontId="0" fillId="2" borderId="1" xfId="0" applyFill="1" applyBorder="1" applyAlignment="1">
      <alignment/>
    </xf>
    <xf numFmtId="10" fontId="0" fillId="2" borderId="9" xfId="21" applyNumberFormat="1" applyFill="1" applyBorder="1" applyAlignment="1">
      <alignment/>
    </xf>
    <xf numFmtId="212" fontId="0" fillId="2" borderId="9" xfId="21" applyNumberFormat="1" applyFill="1" applyBorder="1" applyAlignment="1">
      <alignment/>
    </xf>
    <xf numFmtId="9" fontId="0" fillId="2" borderId="9" xfId="21" applyFill="1" applyBorder="1" applyAlignment="1">
      <alignment/>
    </xf>
    <xf numFmtId="2" fontId="0" fillId="2" borderId="14" xfId="0" applyNumberFormat="1" applyFill="1" applyBorder="1" applyAlignment="1">
      <alignment/>
    </xf>
    <xf numFmtId="2" fontId="0" fillId="2" borderId="9" xfId="0" applyNumberFormat="1" applyFill="1" applyBorder="1" applyAlignment="1">
      <alignment/>
    </xf>
    <xf numFmtId="0" fontId="0" fillId="2" borderId="16" xfId="0" applyFill="1" applyBorder="1" applyAlignment="1">
      <alignment/>
    </xf>
    <xf numFmtId="0" fontId="0" fillId="2" borderId="17" xfId="0" applyFill="1" applyBorder="1" applyAlignment="1">
      <alignment horizontal="center"/>
    </xf>
    <xf numFmtId="1" fontId="0" fillId="2" borderId="17" xfId="0" applyNumberFormat="1" applyFill="1" applyBorder="1" applyAlignment="1">
      <alignment/>
    </xf>
    <xf numFmtId="10" fontId="0" fillId="2" borderId="17" xfId="21" applyNumberFormat="1" applyFill="1" applyBorder="1" applyAlignment="1">
      <alignment/>
    </xf>
    <xf numFmtId="212" fontId="0" fillId="2" borderId="17" xfId="21" applyNumberFormat="1" applyFill="1" applyBorder="1" applyAlignment="1">
      <alignment/>
    </xf>
    <xf numFmtId="0" fontId="0" fillId="2" borderId="17" xfId="0" applyFill="1" applyBorder="1" applyAlignment="1">
      <alignment/>
    </xf>
    <xf numFmtId="9" fontId="0" fillId="2" borderId="17" xfId="21" applyFill="1" applyBorder="1" applyAlignment="1">
      <alignment/>
    </xf>
    <xf numFmtId="2" fontId="0" fillId="2" borderId="18" xfId="0" applyNumberFormat="1" applyFill="1" applyBorder="1" applyAlignment="1">
      <alignment/>
    </xf>
    <xf numFmtId="9" fontId="0" fillId="2" borderId="5" xfId="21" applyFill="1" applyBorder="1" applyAlignment="1">
      <alignment/>
    </xf>
    <xf numFmtId="9" fontId="0" fillId="2" borderId="15" xfId="21" applyFill="1" applyBorder="1" applyAlignment="1">
      <alignment/>
    </xf>
    <xf numFmtId="0" fontId="0" fillId="2" borderId="2" xfId="0" applyFill="1" applyBorder="1" applyAlignment="1">
      <alignment/>
    </xf>
    <xf numFmtId="10" fontId="0" fillId="2" borderId="3" xfId="21" applyNumberFormat="1" applyFill="1" applyBorder="1" applyAlignment="1">
      <alignment/>
    </xf>
    <xf numFmtId="212" fontId="0" fillId="2" borderId="3" xfId="21" applyNumberFormat="1" applyFill="1" applyBorder="1" applyAlignment="1">
      <alignment/>
    </xf>
    <xf numFmtId="9" fontId="0" fillId="2" borderId="3" xfId="21" applyFill="1" applyBorder="1" applyAlignment="1">
      <alignment/>
    </xf>
    <xf numFmtId="3" fontId="0" fillId="2" borderId="9" xfId="21" applyNumberFormat="1" applyFill="1" applyBorder="1" applyAlignment="1">
      <alignment/>
    </xf>
    <xf numFmtId="1" fontId="0" fillId="2" borderId="1" xfId="0" applyNumberFormat="1" applyFill="1" applyBorder="1" applyAlignment="1">
      <alignment/>
    </xf>
    <xf numFmtId="1" fontId="0" fillId="2" borderId="16" xfId="0" applyNumberFormat="1" applyFill="1" applyBorder="1" applyAlignment="1">
      <alignment/>
    </xf>
    <xf numFmtId="3" fontId="0" fillId="2" borderId="3" xfId="0" applyNumberFormat="1" applyFill="1" applyBorder="1" applyAlignment="1">
      <alignment/>
    </xf>
    <xf numFmtId="2" fontId="0" fillId="2" borderId="17" xfId="0" applyNumberFormat="1" applyFill="1" applyBorder="1" applyAlignment="1">
      <alignment/>
    </xf>
    <xf numFmtId="0" fontId="0" fillId="2" borderId="19" xfId="0" applyFill="1" applyBorder="1" applyAlignment="1">
      <alignment/>
    </xf>
    <xf numFmtId="0" fontId="0" fillId="2" borderId="20" xfId="0" applyFill="1" applyBorder="1" applyAlignment="1">
      <alignment horizontal="center"/>
    </xf>
    <xf numFmtId="1" fontId="0" fillId="2" borderId="20" xfId="0" applyNumberFormat="1" applyFill="1" applyBorder="1" applyAlignment="1">
      <alignment/>
    </xf>
    <xf numFmtId="10" fontId="0" fillId="2" borderId="20" xfId="21" applyNumberFormat="1" applyFill="1" applyBorder="1" applyAlignment="1">
      <alignment/>
    </xf>
    <xf numFmtId="212" fontId="0" fillId="2" borderId="20" xfId="21" applyNumberFormat="1" applyFill="1" applyBorder="1" applyAlignment="1">
      <alignment/>
    </xf>
    <xf numFmtId="0" fontId="0" fillId="2" borderId="20" xfId="0" applyFill="1" applyBorder="1" applyAlignment="1">
      <alignment/>
    </xf>
    <xf numFmtId="9" fontId="0" fillId="2" borderId="20" xfId="21" applyFill="1" applyBorder="1" applyAlignment="1">
      <alignment/>
    </xf>
    <xf numFmtId="2" fontId="0" fillId="2" borderId="5" xfId="0" applyNumberFormat="1" applyFill="1" applyBorder="1" applyAlignment="1">
      <alignment/>
    </xf>
    <xf numFmtId="1" fontId="0" fillId="2" borderId="5" xfId="0" applyNumberFormat="1" applyFill="1" applyBorder="1" applyAlignment="1">
      <alignment/>
    </xf>
    <xf numFmtId="2" fontId="0" fillId="2" borderId="3" xfId="0" applyNumberFormat="1" applyFill="1" applyBorder="1" applyAlignment="1">
      <alignment/>
    </xf>
    <xf numFmtId="3" fontId="0" fillId="2" borderId="5" xfId="21" applyNumberFormat="1" applyFill="1" applyBorder="1" applyAlignment="1">
      <alignment/>
    </xf>
    <xf numFmtId="3" fontId="0" fillId="2" borderId="3" xfId="21" applyNumberFormat="1" applyFill="1" applyBorder="1" applyAlignment="1">
      <alignment/>
    </xf>
    <xf numFmtId="10" fontId="0" fillId="2" borderId="5" xfId="0" applyNumberFormat="1" applyFill="1" applyBorder="1" applyAlignment="1">
      <alignment/>
    </xf>
    <xf numFmtId="0" fontId="1" fillId="2" borderId="8" xfId="0" applyFont="1" applyFill="1" applyBorder="1" applyAlignment="1">
      <alignment/>
    </xf>
    <xf numFmtId="0" fontId="0" fillId="2" borderId="21" xfId="0" applyFill="1" applyBorder="1" applyAlignment="1">
      <alignment/>
    </xf>
    <xf numFmtId="1" fontId="0" fillId="2" borderId="21" xfId="0" applyNumberFormat="1" applyFill="1" applyBorder="1" applyAlignment="1">
      <alignment/>
    </xf>
    <xf numFmtId="10" fontId="1" fillId="2" borderId="21" xfId="21" applyNumberFormat="1" applyFont="1" applyFill="1" applyBorder="1" applyAlignment="1">
      <alignment/>
    </xf>
    <xf numFmtId="3" fontId="0" fillId="2" borderId="21" xfId="0" applyNumberFormat="1" applyFill="1" applyBorder="1" applyAlignment="1">
      <alignment/>
    </xf>
    <xf numFmtId="0" fontId="0" fillId="2" borderId="22" xfId="0" applyFill="1" applyBorder="1" applyAlignment="1">
      <alignment/>
    </xf>
    <xf numFmtId="3" fontId="0" fillId="2" borderId="0" xfId="0" applyNumberFormat="1" applyFill="1" applyAlignment="1">
      <alignment/>
    </xf>
    <xf numFmtId="9" fontId="0" fillId="2" borderId="0" xfId="0" applyNumberFormat="1" applyFill="1" applyAlignment="1">
      <alignment/>
    </xf>
    <xf numFmtId="0" fontId="0" fillId="2" borderId="0" xfId="0" applyFill="1" applyBorder="1" applyAlignment="1">
      <alignment/>
    </xf>
    <xf numFmtId="9" fontId="0" fillId="2" borderId="0" xfId="0" applyNumberFormat="1" applyFill="1" applyBorder="1" applyAlignment="1">
      <alignment/>
    </xf>
    <xf numFmtId="0" fontId="10" fillId="2" borderId="5" xfId="0" applyFont="1" applyFill="1" applyBorder="1" applyAlignment="1">
      <alignment horizontal="center"/>
    </xf>
    <xf numFmtId="218" fontId="0" fillId="2" borderId="5" xfId="17" applyNumberFormat="1" applyFill="1" applyBorder="1" applyAlignment="1">
      <alignment/>
    </xf>
    <xf numFmtId="218" fontId="0" fillId="2" borderId="7" xfId="17" applyNumberFormat="1" applyFill="1" applyBorder="1" applyAlignment="1">
      <alignment/>
    </xf>
    <xf numFmtId="0" fontId="10" fillId="2" borderId="9" xfId="0" applyFont="1" applyFill="1" applyBorder="1" applyAlignment="1">
      <alignment horizontal="center"/>
    </xf>
    <xf numFmtId="218" fontId="0" fillId="2" borderId="9" xfId="17" applyNumberFormat="1" applyFill="1" applyBorder="1" applyAlignment="1">
      <alignment/>
    </xf>
    <xf numFmtId="218" fontId="0" fillId="2" borderId="14" xfId="17" applyNumberFormat="1" applyFill="1" applyBorder="1" applyAlignment="1">
      <alignment/>
    </xf>
    <xf numFmtId="0" fontId="10" fillId="2" borderId="3" xfId="0" applyFont="1" applyFill="1" applyBorder="1" applyAlignment="1">
      <alignment horizontal="center"/>
    </xf>
    <xf numFmtId="218" fontId="0" fillId="2" borderId="3" xfId="17" applyNumberFormat="1" applyFill="1" applyBorder="1" applyAlignment="1">
      <alignment/>
    </xf>
    <xf numFmtId="218" fontId="0" fillId="2" borderId="4" xfId="17" applyNumberFormat="1" applyFill="1" applyBorder="1" applyAlignment="1">
      <alignment/>
    </xf>
    <xf numFmtId="0" fontId="0" fillId="2" borderId="6" xfId="0" applyFont="1" applyFill="1" applyBorder="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2" borderId="0" xfId="0" applyFont="1" applyFill="1" applyAlignment="1">
      <alignment wrapText="1"/>
    </xf>
    <xf numFmtId="207" fontId="0" fillId="2" borderId="5" xfId="0" applyNumberFormat="1" applyFill="1" applyBorder="1" applyAlignment="1">
      <alignment horizontal="right"/>
    </xf>
    <xf numFmtId="208" fontId="0" fillId="2" borderId="5" xfId="0" applyNumberFormat="1" applyFill="1" applyBorder="1" applyAlignment="1">
      <alignment/>
    </xf>
    <xf numFmtId="207" fontId="0" fillId="2" borderId="9" xfId="0" applyNumberFormat="1" applyFill="1" applyBorder="1" applyAlignment="1">
      <alignment horizontal="right"/>
    </xf>
    <xf numFmtId="208" fontId="0" fillId="2" borderId="9" xfId="0" applyNumberFormat="1" applyFill="1" applyBorder="1" applyAlignment="1">
      <alignment/>
    </xf>
    <xf numFmtId="0" fontId="0" fillId="2" borderId="2" xfId="0" applyFill="1" applyBorder="1" applyAlignment="1">
      <alignment horizontal="left"/>
    </xf>
    <xf numFmtId="0" fontId="0" fillId="2" borderId="3" xfId="0" applyFill="1" applyBorder="1" applyAlignment="1">
      <alignment horizontal="left"/>
    </xf>
    <xf numFmtId="207" fontId="0" fillId="2" borderId="3" xfId="0" applyNumberFormat="1" applyFill="1" applyBorder="1" applyAlignment="1">
      <alignment horizontal="right"/>
    </xf>
    <xf numFmtId="0" fontId="0" fillId="2" borderId="8" xfId="0" applyFill="1" applyBorder="1" applyAlignment="1">
      <alignment horizontal="left"/>
    </xf>
    <xf numFmtId="218" fontId="0" fillId="2" borderId="21" xfId="17" applyNumberFormat="1" applyFill="1" applyBorder="1" applyAlignment="1">
      <alignment/>
    </xf>
    <xf numFmtId="218" fontId="0" fillId="2" borderId="22" xfId="17" applyNumberFormat="1" applyFill="1" applyBorder="1" applyAlignment="1">
      <alignment/>
    </xf>
    <xf numFmtId="0" fontId="5" fillId="2" borderId="0" xfId="0" applyFont="1" applyFill="1" applyAlignment="1">
      <alignment horizontal="center" wrapText="1"/>
    </xf>
    <xf numFmtId="208" fontId="0" fillId="2" borderId="7" xfId="0" applyNumberFormat="1" applyFill="1" applyBorder="1" applyAlignment="1">
      <alignment/>
    </xf>
    <xf numFmtId="1" fontId="0" fillId="2" borderId="0" xfId="0" applyNumberFormat="1" applyFill="1" applyAlignment="1">
      <alignment/>
    </xf>
    <xf numFmtId="208" fontId="0" fillId="2" borderId="14" xfId="0" applyNumberFormat="1" applyFill="1" applyBorder="1" applyAlignment="1">
      <alignment/>
    </xf>
    <xf numFmtId="208" fontId="0" fillId="2" borderId="3" xfId="0" applyNumberFormat="1" applyFill="1" applyBorder="1" applyAlignment="1">
      <alignment/>
    </xf>
    <xf numFmtId="208" fontId="0" fillId="2" borderId="4" xfId="0" applyNumberFormat="1" applyFill="1" applyBorder="1" applyAlignment="1">
      <alignment/>
    </xf>
    <xf numFmtId="2" fontId="0" fillId="2" borderId="5" xfId="0" applyNumberFormat="1" applyFill="1" applyBorder="1" applyAlignment="1" applyProtection="1">
      <alignment/>
      <protection locked="0"/>
    </xf>
    <xf numFmtId="2" fontId="0" fillId="2" borderId="9" xfId="0" applyNumberFormat="1" applyFill="1" applyBorder="1" applyAlignment="1" applyProtection="1">
      <alignment/>
      <protection locked="0"/>
    </xf>
    <xf numFmtId="2" fontId="0" fillId="2" borderId="3" xfId="0" applyNumberFormat="1" applyFill="1" applyBorder="1" applyAlignment="1" applyProtection="1">
      <alignment/>
      <protection locked="0"/>
    </xf>
    <xf numFmtId="2" fontId="0" fillId="2" borderId="4" xfId="0" applyNumberFormat="1" applyFill="1" applyBorder="1" applyAlignment="1">
      <alignment/>
    </xf>
    <xf numFmtId="0" fontId="0" fillId="2" borderId="0" xfId="0" applyFill="1" applyAlignment="1">
      <alignment wrapText="1"/>
    </xf>
    <xf numFmtId="0" fontId="4" fillId="2" borderId="0" xfId="0" applyFont="1" applyFill="1" applyAlignment="1">
      <alignment/>
    </xf>
    <xf numFmtId="0" fontId="4" fillId="2" borderId="0" xfId="0" applyFont="1" applyFill="1" applyAlignment="1">
      <alignment horizontal="center"/>
    </xf>
    <xf numFmtId="2" fontId="0" fillId="2" borderId="5" xfId="0" applyNumberFormat="1" applyFill="1" applyBorder="1" applyAlignment="1">
      <alignment horizontal="center"/>
    </xf>
    <xf numFmtId="2" fontId="0" fillId="2" borderId="7" xfId="0" applyNumberFormat="1" applyFill="1" applyBorder="1" applyAlignment="1">
      <alignment horizontal="center"/>
    </xf>
    <xf numFmtId="2" fontId="0" fillId="2" borderId="9" xfId="0" applyNumberFormat="1" applyFill="1" applyBorder="1" applyAlignment="1">
      <alignment horizontal="center"/>
    </xf>
    <xf numFmtId="2" fontId="0" fillId="2" borderId="14" xfId="0" applyNumberForma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217" fontId="0" fillId="2" borderId="5" xfId="17" applyNumberFormat="1" applyFill="1" applyBorder="1" applyAlignment="1">
      <alignment/>
    </xf>
    <xf numFmtId="217" fontId="0" fillId="2" borderId="7" xfId="17" applyNumberFormat="1" applyFill="1" applyBorder="1" applyAlignment="1">
      <alignment/>
    </xf>
    <xf numFmtId="217" fontId="0" fillId="2" borderId="9" xfId="17" applyNumberFormat="1" applyFill="1" applyBorder="1" applyAlignment="1">
      <alignment/>
    </xf>
    <xf numFmtId="217" fontId="0" fillId="2" borderId="14" xfId="17" applyNumberFormat="1" applyFill="1" applyBorder="1" applyAlignment="1">
      <alignment/>
    </xf>
    <xf numFmtId="217" fontId="0" fillId="2" borderId="3" xfId="17" applyNumberFormat="1" applyFill="1" applyBorder="1" applyAlignment="1">
      <alignment/>
    </xf>
    <xf numFmtId="217" fontId="0" fillId="2" borderId="4" xfId="17" applyNumberFormat="1" applyFill="1" applyBorder="1" applyAlignment="1">
      <alignment/>
    </xf>
    <xf numFmtId="218" fontId="0" fillId="2" borderId="0" xfId="17" applyNumberFormat="1" applyFill="1" applyBorder="1" applyAlignment="1">
      <alignment/>
    </xf>
    <xf numFmtId="0" fontId="0" fillId="2" borderId="0" xfId="0" applyFill="1" applyBorder="1" applyAlignment="1">
      <alignment horizontal="left"/>
    </xf>
    <xf numFmtId="207" fontId="0" fillId="2" borderId="0" xfId="0" applyNumberFormat="1" applyFill="1" applyBorder="1" applyAlignment="1">
      <alignment horizontal="right"/>
    </xf>
    <xf numFmtId="2" fontId="0" fillId="2" borderId="0" xfId="0" applyNumberFormat="1" applyFill="1" applyBorder="1" applyAlignment="1">
      <alignment/>
    </xf>
    <xf numFmtId="0" fontId="0" fillId="0" borderId="9" xfId="0" applyBorder="1" applyAlignment="1">
      <alignment/>
    </xf>
    <xf numFmtId="0" fontId="0" fillId="0" borderId="14" xfId="0" applyBorder="1" applyAlignment="1">
      <alignment/>
    </xf>
    <xf numFmtId="0" fontId="0" fillId="2" borderId="9" xfId="0" applyFont="1" applyFill="1" applyBorder="1" applyAlignment="1">
      <alignment horizontal="center"/>
    </xf>
    <xf numFmtId="0" fontId="1" fillId="0" borderId="0" xfId="0" applyFont="1" applyAlignment="1">
      <alignment/>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2" fillId="0" borderId="0" xfId="0" applyFont="1" applyAlignment="1">
      <alignment/>
    </xf>
    <xf numFmtId="0" fontId="2" fillId="2" borderId="0" xfId="0" applyFont="1" applyFill="1" applyAlignment="1">
      <alignment/>
    </xf>
    <xf numFmtId="0" fontId="10" fillId="0" borderId="11" xfId="0" applyFont="1" applyBorder="1" applyAlignment="1">
      <alignment/>
    </xf>
    <xf numFmtId="216" fontId="10" fillId="0" borderId="12" xfId="0" applyNumberFormat="1" applyFont="1" applyBorder="1" applyAlignment="1">
      <alignment/>
    </xf>
    <xf numFmtId="216" fontId="10" fillId="0" borderId="13" xfId="0" applyNumberFormat="1" applyFont="1" applyBorder="1" applyAlignment="1">
      <alignment/>
    </xf>
    <xf numFmtId="0" fontId="10" fillId="2" borderId="0" xfId="0" applyFont="1" applyFill="1" applyAlignment="1">
      <alignment/>
    </xf>
    <xf numFmtId="0" fontId="10" fillId="0" borderId="0" xfId="0" applyFont="1" applyAlignment="1">
      <alignment/>
    </xf>
    <xf numFmtId="0" fontId="10" fillId="0" borderId="1" xfId="0" applyFont="1" applyBorder="1" applyAlignment="1">
      <alignment/>
    </xf>
    <xf numFmtId="216" fontId="10" fillId="0" borderId="9" xfId="0" applyNumberFormat="1" applyFont="1" applyBorder="1" applyAlignment="1">
      <alignment/>
    </xf>
    <xf numFmtId="216" fontId="10" fillId="0" borderId="14" xfId="0" applyNumberFormat="1" applyFont="1" applyBorder="1" applyAlignment="1">
      <alignment/>
    </xf>
    <xf numFmtId="222" fontId="10" fillId="0" borderId="9" xfId="0" applyNumberFormat="1" applyFont="1" applyBorder="1" applyAlignment="1">
      <alignment/>
    </xf>
    <xf numFmtId="216" fontId="10" fillId="0" borderId="9" xfId="21" applyNumberFormat="1" applyFont="1" applyBorder="1" applyAlignment="1">
      <alignment/>
    </xf>
    <xf numFmtId="216" fontId="10" fillId="0" borderId="9" xfId="0" applyNumberFormat="1" applyFont="1" applyFill="1" applyBorder="1" applyAlignment="1">
      <alignment/>
    </xf>
    <xf numFmtId="0" fontId="10" fillId="0" borderId="2" xfId="0" applyFont="1" applyBorder="1" applyAlignment="1">
      <alignment/>
    </xf>
    <xf numFmtId="216" fontId="10" fillId="5" borderId="3" xfId="0" applyNumberFormat="1" applyFont="1" applyFill="1" applyBorder="1" applyAlignment="1">
      <alignment/>
    </xf>
    <xf numFmtId="216" fontId="10" fillId="0" borderId="3" xfId="0" applyNumberFormat="1" applyFont="1" applyBorder="1" applyAlignment="1">
      <alignment/>
    </xf>
    <xf numFmtId="216" fontId="10" fillId="0" borderId="3" xfId="0" applyNumberFormat="1" applyFont="1" applyFill="1" applyBorder="1" applyAlignment="1">
      <alignment/>
    </xf>
    <xf numFmtId="222" fontId="10" fillId="0" borderId="3" xfId="0" applyNumberFormat="1" applyFont="1" applyBorder="1" applyAlignment="1">
      <alignment/>
    </xf>
    <xf numFmtId="216" fontId="10" fillId="0" borderId="4" xfId="0" applyNumberFormat="1" applyFont="1" applyBorder="1" applyAlignment="1">
      <alignment/>
    </xf>
    <xf numFmtId="0" fontId="14" fillId="0" borderId="0" xfId="0" applyFont="1" applyAlignment="1">
      <alignment/>
    </xf>
    <xf numFmtId="0" fontId="15" fillId="2" borderId="0" xfId="0" applyFont="1" applyFill="1" applyAlignment="1">
      <alignment/>
    </xf>
    <xf numFmtId="0" fontId="13" fillId="2" borderId="0" xfId="0" applyFont="1" applyFill="1" applyAlignment="1">
      <alignment/>
    </xf>
    <xf numFmtId="0" fontId="2" fillId="2" borderId="0" xfId="0" applyFont="1" applyFill="1" applyBorder="1" applyAlignment="1">
      <alignment/>
    </xf>
    <xf numFmtId="2" fontId="2" fillId="2" borderId="0" xfId="0" applyNumberFormat="1" applyFont="1" applyFill="1" applyBorder="1" applyAlignment="1">
      <alignment/>
    </xf>
    <xf numFmtId="218" fontId="0" fillId="2" borderId="5" xfId="17" applyNumberFormat="1" applyFill="1" applyBorder="1" applyAlignment="1">
      <alignment horizontal="center"/>
    </xf>
    <xf numFmtId="218" fontId="0" fillId="2" borderId="9" xfId="17" applyNumberFormat="1" applyFill="1" applyBorder="1" applyAlignment="1">
      <alignment horizontal="left"/>
    </xf>
    <xf numFmtId="218" fontId="0" fillId="2" borderId="3" xfId="17" applyNumberFormat="1" applyFill="1" applyBorder="1" applyAlignment="1">
      <alignment horizontal="left"/>
    </xf>
    <xf numFmtId="9" fontId="0" fillId="2" borderId="9" xfId="0" applyNumberFormat="1" applyFill="1" applyBorder="1" applyAlignment="1">
      <alignment horizontal="center"/>
    </xf>
    <xf numFmtId="9" fontId="0" fillId="2" borderId="5" xfId="0" applyNumberFormat="1" applyFill="1" applyBorder="1" applyAlignment="1">
      <alignment horizontal="center"/>
    </xf>
    <xf numFmtId="212" fontId="0" fillId="2" borderId="5" xfId="0" applyNumberFormat="1" applyFill="1" applyBorder="1" applyAlignment="1">
      <alignment horizontal="center"/>
    </xf>
    <xf numFmtId="9" fontId="0" fillId="2" borderId="7" xfId="0" applyNumberFormat="1" applyFill="1" applyBorder="1" applyAlignment="1">
      <alignment horizontal="center"/>
    </xf>
    <xf numFmtId="212" fontId="0" fillId="2" borderId="9" xfId="0" applyNumberFormat="1" applyFill="1" applyBorder="1" applyAlignment="1">
      <alignment horizontal="center"/>
    </xf>
    <xf numFmtId="9" fontId="0" fillId="2" borderId="14" xfId="0" applyNumberFormat="1" applyFill="1" applyBorder="1" applyAlignment="1">
      <alignment horizontal="center"/>
    </xf>
    <xf numFmtId="9" fontId="0" fillId="2" borderId="3" xfId="0" applyNumberFormat="1" applyFill="1" applyBorder="1" applyAlignment="1">
      <alignment horizontal="center"/>
    </xf>
    <xf numFmtId="212" fontId="0" fillId="2" borderId="3" xfId="0" applyNumberFormat="1" applyFill="1" applyBorder="1" applyAlignment="1">
      <alignment horizontal="center"/>
    </xf>
    <xf numFmtId="0" fontId="0" fillId="2" borderId="4" xfId="0" applyFill="1" applyBorder="1" applyAlignment="1">
      <alignment horizontal="center"/>
    </xf>
    <xf numFmtId="218" fontId="0" fillId="2" borderId="5" xfId="17" applyNumberFormat="1" applyFont="1" applyFill="1" applyBorder="1" applyAlignment="1">
      <alignment/>
    </xf>
    <xf numFmtId="0" fontId="15" fillId="2" borderId="0" xfId="0" applyFont="1" applyFill="1" applyBorder="1" applyAlignment="1">
      <alignment horizontal="left"/>
    </xf>
    <xf numFmtId="218" fontId="2" fillId="2" borderId="0" xfId="17" applyNumberFormat="1" applyFont="1" applyFill="1" applyAlignment="1">
      <alignment/>
    </xf>
    <xf numFmtId="0" fontId="2" fillId="2" borderId="0" xfId="0" applyFont="1" applyFill="1" applyAlignment="1">
      <alignment horizontal="left"/>
    </xf>
    <xf numFmtId="0" fontId="2" fillId="2" borderId="1" xfId="0" applyFont="1" applyFill="1" applyBorder="1" applyAlignment="1">
      <alignment/>
    </xf>
    <xf numFmtId="0" fontId="2" fillId="2" borderId="9" xfId="0" applyFont="1" applyFill="1" applyBorder="1" applyAlignment="1">
      <alignment/>
    </xf>
    <xf numFmtId="0" fontId="2" fillId="2" borderId="14" xfId="0" applyFont="1" applyFill="1" applyBorder="1" applyAlignment="1">
      <alignment/>
    </xf>
    <xf numFmtId="0" fontId="23" fillId="0" borderId="0" xfId="0" applyFont="1" applyAlignment="1">
      <alignment/>
    </xf>
    <xf numFmtId="0" fontId="24" fillId="0" borderId="6" xfId="0" applyFont="1" applyBorder="1" applyAlignment="1">
      <alignment horizontal="center" vertical="top" wrapText="1"/>
    </xf>
    <xf numFmtId="0" fontId="24" fillId="0" borderId="5" xfId="0" applyFont="1" applyBorder="1" applyAlignment="1">
      <alignment horizontal="center" vertical="top" wrapText="1"/>
    </xf>
    <xf numFmtId="0" fontId="24" fillId="0" borderId="7" xfId="0" applyFont="1" applyBorder="1" applyAlignment="1">
      <alignment horizontal="center" vertical="top" wrapText="1"/>
    </xf>
    <xf numFmtId="0" fontId="25" fillId="0" borderId="1" xfId="0" applyFont="1" applyBorder="1" applyAlignment="1">
      <alignment vertical="top" wrapText="1"/>
    </xf>
    <xf numFmtId="0" fontId="25" fillId="0" borderId="9" xfId="0" applyFont="1" applyBorder="1" applyAlignment="1">
      <alignment horizontal="center" vertical="top" wrapText="1"/>
    </xf>
    <xf numFmtId="0" fontId="25" fillId="0" borderId="14" xfId="0" applyFont="1" applyBorder="1" applyAlignment="1">
      <alignment horizontal="center" vertical="top" wrapText="1"/>
    </xf>
    <xf numFmtId="0" fontId="25" fillId="0" borderId="2" xfId="0" applyFont="1" applyBorder="1" applyAlignment="1">
      <alignment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26" fillId="0" borderId="0" xfId="0" applyFont="1" applyAlignment="1">
      <alignment/>
    </xf>
    <xf numFmtId="0" fontId="27" fillId="0" borderId="0" xfId="0" applyFont="1" applyAlignment="1">
      <alignment/>
    </xf>
    <xf numFmtId="2" fontId="0" fillId="2" borderId="13" xfId="0" applyNumberFormat="1" applyFill="1" applyBorder="1" applyAlignment="1">
      <alignment/>
    </xf>
    <xf numFmtId="0" fontId="1" fillId="4" borderId="5" xfId="0" applyFont="1" applyFill="1" applyBorder="1" applyAlignment="1">
      <alignment horizontal="center" vertical="center"/>
    </xf>
    <xf numFmtId="0" fontId="4" fillId="4" borderId="6" xfId="0" applyFont="1" applyFill="1" applyBorder="1" applyAlignment="1">
      <alignment horizontal="center" wrapText="1"/>
    </xf>
    <xf numFmtId="0" fontId="4" fillId="4" borderId="5" xfId="0" applyFont="1" applyFill="1" applyBorder="1" applyAlignment="1">
      <alignment horizontal="center" wrapText="1"/>
    </xf>
    <xf numFmtId="10" fontId="0" fillId="2" borderId="17" xfId="21" applyNumberFormat="1" applyFill="1" applyBorder="1" applyAlignment="1">
      <alignment horizontal="center" vertical="center"/>
    </xf>
    <xf numFmtId="10" fontId="0" fillId="2" borderId="20" xfId="21" applyNumberFormat="1" applyFill="1" applyBorder="1" applyAlignment="1">
      <alignment horizontal="center" vertical="center"/>
    </xf>
    <xf numFmtId="10" fontId="0" fillId="2" borderId="12" xfId="21" applyNumberFormat="1" applyFill="1" applyBorder="1" applyAlignment="1">
      <alignment horizontal="center" vertical="center"/>
    </xf>
    <xf numFmtId="10" fontId="0" fillId="2" borderId="15" xfId="21" applyNumberFormat="1" applyFill="1" applyBorder="1" applyAlignment="1">
      <alignment horizontal="center" vertical="center"/>
    </xf>
    <xf numFmtId="10" fontId="0" fillId="2" borderId="15" xfId="0" applyNumberFormat="1" applyFill="1" applyBorder="1" applyAlignment="1">
      <alignment horizontal="center"/>
    </xf>
    <xf numFmtId="10" fontId="0" fillId="2" borderId="23" xfId="0" applyNumberFormat="1" applyFill="1" applyBorder="1" applyAlignment="1">
      <alignment horizontal="center"/>
    </xf>
    <xf numFmtId="212" fontId="0" fillId="2" borderId="15" xfId="21" applyNumberFormat="1" applyFill="1" applyBorder="1" applyAlignment="1">
      <alignment horizontal="center" vertical="center"/>
    </xf>
    <xf numFmtId="212" fontId="0" fillId="2" borderId="20" xfId="21" applyNumberFormat="1" applyFill="1" applyBorder="1" applyAlignment="1">
      <alignment horizontal="center" vertical="center"/>
    </xf>
    <xf numFmtId="212" fontId="0" fillId="2" borderId="12" xfId="21" applyNumberFormat="1" applyFill="1" applyBorder="1" applyAlignment="1">
      <alignment horizontal="center" vertical="center"/>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6" xfId="0" applyFont="1" applyFill="1" applyBorder="1" applyAlignment="1">
      <alignment horizontal="center"/>
    </xf>
    <xf numFmtId="0" fontId="4" fillId="3" borderId="5"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 fillId="4" borderId="5" xfId="0" applyFont="1" applyFill="1" applyBorder="1" applyAlignment="1">
      <alignment horizontal="left"/>
    </xf>
    <xf numFmtId="0" fontId="1" fillId="4" borderId="7" xfId="0" applyFont="1" applyFill="1" applyBorder="1" applyAlignment="1">
      <alignment horizontal="left"/>
    </xf>
    <xf numFmtId="0" fontId="4" fillId="3" borderId="1" xfId="0" applyFont="1" applyFill="1" applyBorder="1" applyAlignment="1">
      <alignment horizontal="center"/>
    </xf>
    <xf numFmtId="0" fontId="4" fillId="3" borderId="9" xfId="0" applyFont="1" applyFill="1" applyBorder="1" applyAlignment="1">
      <alignment horizont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4" fillId="4" borderId="7" xfId="0" applyFont="1" applyFill="1" applyBorder="1" applyAlignment="1">
      <alignment horizontal="center" wrapText="1"/>
    </xf>
    <xf numFmtId="0" fontId="4" fillId="4" borderId="5" xfId="0" applyFont="1" applyFill="1" applyBorder="1" applyAlignment="1">
      <alignment horizontal="center" vertical="center" wrapText="1"/>
    </xf>
    <xf numFmtId="0" fontId="5" fillId="2" borderId="0" xfId="0" applyFont="1" applyFill="1" applyAlignment="1">
      <alignment horizont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4" borderId="5" xfId="0" applyFill="1" applyBorder="1" applyAlignment="1">
      <alignment vertical="center" wrapText="1"/>
    </xf>
    <xf numFmtId="0" fontId="4" fillId="2" borderId="0" xfId="0" applyFont="1" applyFill="1" applyAlignment="1">
      <alignment horizontal="center" wrapText="1"/>
    </xf>
    <xf numFmtId="0" fontId="0" fillId="2" borderId="0" xfId="0" applyFill="1" applyAlignment="1">
      <alignment wrapText="1"/>
    </xf>
    <xf numFmtId="0" fontId="0" fillId="4" borderId="7" xfId="0" applyFill="1" applyBorder="1" applyAlignment="1">
      <alignment vertical="center" wrapText="1"/>
    </xf>
    <xf numFmtId="0" fontId="3" fillId="4" borderId="24" xfId="0" applyFont="1" applyFill="1" applyBorder="1" applyAlignment="1">
      <alignment horizontal="center" vertical="center" wrapText="1"/>
    </xf>
    <xf numFmtId="0" fontId="3" fillId="4" borderId="27"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53"/>
          <c:w val="0.69925"/>
          <c:h val="0.768"/>
        </c:manualLayout>
      </c:layout>
      <c:areaChart>
        <c:grouping val="stacked"/>
        <c:varyColors val="0"/>
        <c:ser>
          <c:idx val="0"/>
          <c:order val="0"/>
          <c:tx>
            <c:strRef>
              <c:f>'Migración por lugar nacimiento'!$B$146</c:f>
              <c:strCache>
                <c:ptCount val="1"/>
                <c:pt idx="0">
                  <c:v>Guayas</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nacimiento'!$B$147:$B$151</c:f>
              <c:numCache>
                <c:ptCount val="5"/>
                <c:pt idx="0">
                  <c:v>0</c:v>
                </c:pt>
                <c:pt idx="1">
                  <c:v>0</c:v>
                </c:pt>
                <c:pt idx="2">
                  <c:v>0</c:v>
                </c:pt>
                <c:pt idx="3">
                  <c:v>0</c:v>
                </c:pt>
                <c:pt idx="4">
                  <c:v>0</c:v>
                </c:pt>
              </c:numCache>
            </c:numRef>
          </c:val>
        </c:ser>
        <c:ser>
          <c:idx val="1"/>
          <c:order val="1"/>
          <c:tx>
            <c:strRef>
              <c:f>'Migración por lugar nacimiento'!$C$146</c:f>
              <c:strCache>
                <c:ptCount val="1"/>
                <c:pt idx="0">
                  <c:v>Tungurahua</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nacimiento'!$C$147:$C$151</c:f>
              <c:numCache>
                <c:ptCount val="5"/>
                <c:pt idx="0">
                  <c:v>0</c:v>
                </c:pt>
                <c:pt idx="1">
                  <c:v>0</c:v>
                </c:pt>
                <c:pt idx="2">
                  <c:v>0</c:v>
                </c:pt>
                <c:pt idx="3">
                  <c:v>0</c:v>
                </c:pt>
                <c:pt idx="4">
                  <c:v>0</c:v>
                </c:pt>
              </c:numCache>
            </c:numRef>
          </c:val>
        </c:ser>
        <c:ser>
          <c:idx val="2"/>
          <c:order val="2"/>
          <c:tx>
            <c:strRef>
              <c:f>'Migración por lugar nacimiento'!$D$146</c:f>
              <c:strCache>
                <c:ptCount val="1"/>
                <c:pt idx="0">
                  <c:v>Pichincha</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nacimiento'!$D$147:$D$151</c:f>
              <c:numCache>
                <c:ptCount val="5"/>
                <c:pt idx="0">
                  <c:v>0</c:v>
                </c:pt>
                <c:pt idx="1">
                  <c:v>0</c:v>
                </c:pt>
                <c:pt idx="2">
                  <c:v>0</c:v>
                </c:pt>
                <c:pt idx="3">
                  <c:v>0</c:v>
                </c:pt>
                <c:pt idx="4">
                  <c:v>0</c:v>
                </c:pt>
              </c:numCache>
            </c:numRef>
          </c:val>
        </c:ser>
        <c:ser>
          <c:idx val="3"/>
          <c:order val="3"/>
          <c:tx>
            <c:strRef>
              <c:f>'Migración por lugar nacimiento'!$E$146</c:f>
              <c:strCache>
                <c:ptCount val="1"/>
                <c:pt idx="0">
                  <c:v>Resto</c:v>
                </c:pt>
              </c:strCache>
            </c:strRef>
          </c:tx>
          <c:extLst>
            <c:ext xmlns:c14="http://schemas.microsoft.com/office/drawing/2007/8/2/chart" uri="{6F2FDCE9-48DA-4B69-8628-5D25D57E5C99}">
              <c14:invertSolidFillFmt>
                <c14:spPr>
                  <a:solidFill>
                    <a:srgbClr val="000000"/>
                  </a:solidFill>
                </c14:spPr>
              </c14:invertSolidFillFmt>
            </c:ext>
          </c:extLst>
          <c:cat>
            <c:strRef>
              <c:f>'Migración por lugar nacimiento'!$A$147:$A$151</c:f>
              <c:strCache/>
            </c:strRef>
          </c:cat>
          <c:val>
            <c:numRef>
              <c:f>'Migración por lugar nacimiento'!$E$147:$E$151</c:f>
              <c:numCache>
                <c:ptCount val="5"/>
                <c:pt idx="0">
                  <c:v>0</c:v>
                </c:pt>
                <c:pt idx="1">
                  <c:v>0</c:v>
                </c:pt>
                <c:pt idx="2">
                  <c:v>0</c:v>
                </c:pt>
                <c:pt idx="3">
                  <c:v>0</c:v>
                </c:pt>
                <c:pt idx="4">
                  <c:v>0</c:v>
                </c:pt>
              </c:numCache>
            </c:numRef>
          </c:val>
        </c:ser>
        <c:axId val="38813844"/>
        <c:axId val="13780277"/>
      </c:areaChart>
      <c:catAx>
        <c:axId val="38813844"/>
        <c:scaling>
          <c:orientation val="minMax"/>
        </c:scaling>
        <c:axPos val="b"/>
        <c:title>
          <c:tx>
            <c:rich>
              <a:bodyPr vert="horz" rot="0" anchor="ctr"/>
              <a:lstStyle/>
              <a:p>
                <a:pPr algn="ctr">
                  <a:defRPr/>
                </a:pPr>
                <a:r>
                  <a:rPr lang="en-US" cap="none" sz="1025" b="1" i="0" u="none" baseline="0">
                    <a:latin typeface="Arial"/>
                    <a:ea typeface="Arial"/>
                    <a:cs typeface="Arial"/>
                  </a:rPr>
                  <a:t>Período de Tiempo</a:t>
                </a:r>
              </a:p>
            </c:rich>
          </c:tx>
          <c:layout/>
          <c:overlay val="0"/>
          <c:spPr>
            <a:noFill/>
            <a:ln>
              <a:noFill/>
            </a:ln>
          </c:spPr>
        </c:title>
        <c:delete val="0"/>
        <c:numFmt formatCode="General" sourceLinked="1"/>
        <c:majorTickMark val="out"/>
        <c:minorTickMark val="none"/>
        <c:tickLblPos val="nextTo"/>
        <c:crossAx val="13780277"/>
        <c:crosses val="autoZero"/>
        <c:auto val="1"/>
        <c:lblOffset val="100"/>
        <c:noMultiLvlLbl val="0"/>
      </c:catAx>
      <c:valAx>
        <c:axId val="13780277"/>
        <c:scaling>
          <c:orientation val="minMax"/>
        </c:scaling>
        <c:axPos val="l"/>
        <c:title>
          <c:tx>
            <c:rich>
              <a:bodyPr vert="horz" rot="-5400000" anchor="ctr"/>
              <a:lstStyle/>
              <a:p>
                <a:pPr algn="ctr">
                  <a:defRPr/>
                </a:pPr>
                <a:r>
                  <a:rPr lang="en-US" cap="none" sz="1025" b="1" i="0" u="none" baseline="0">
                    <a:latin typeface="Arial"/>
                    <a:ea typeface="Arial"/>
                    <a:cs typeface="Arial"/>
                  </a:rPr>
                  <a:t>Porcentaje de inmigrantes</a:t>
                </a:r>
              </a:p>
            </c:rich>
          </c:tx>
          <c:layout/>
          <c:overlay val="0"/>
          <c:spPr>
            <a:noFill/>
            <a:ln>
              <a:noFill/>
            </a:ln>
          </c:spPr>
        </c:title>
        <c:majorGridlines/>
        <c:delete val="0"/>
        <c:numFmt formatCode="General" sourceLinked="1"/>
        <c:majorTickMark val="out"/>
        <c:minorTickMark val="none"/>
        <c:tickLblPos val="nextTo"/>
        <c:crossAx val="38813844"/>
        <c:crossesAt val="1"/>
        <c:crossBetween val="midCat"/>
        <c:dispUnits/>
      </c:valAx>
      <c:spPr>
        <a:solidFill>
          <a:srgbClr val="C0C0C0"/>
        </a:solidFill>
        <a:ln w="12700">
          <a:solidFill>
            <a:srgbClr val="808080"/>
          </a:solidFill>
        </a:ln>
      </c:spPr>
    </c:plotArea>
    <c:legend>
      <c:legendPos val="r"/>
      <c:layout>
        <c:manualLayout>
          <c:xMode val="edge"/>
          <c:yMode val="edge"/>
          <c:x val="0.7475"/>
          <c:y val="0.162"/>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'Migración Total'!$W$3</c:f>
              <c:strCache>
                <c:ptCount val="1"/>
                <c:pt idx="0">
                  <c:v>Nacionales</c:v>
                </c:pt>
              </c:strCache>
            </c:strRef>
          </c:tx>
          <c:extLst>
            <c:ext xmlns:c14="http://schemas.microsoft.com/office/drawing/2007/8/2/chart" uri="{6F2FDCE9-48DA-4B69-8628-5D25D57E5C99}">
              <c14:invertSolidFillFmt>
                <c14:spPr>
                  <a:solidFill>
                    <a:srgbClr val="000000"/>
                  </a:solidFill>
                </c14:spPr>
              </c14:invertSolidFillFmt>
            </c:ext>
          </c:extLst>
          <c:cat>
            <c:numRef>
              <c:f>'Migración Total'!$V$4:$V$15</c:f>
              <c:numCache>
                <c:ptCount val="12"/>
                <c:pt idx="0">
                  <c:v>1979</c:v>
                </c:pt>
                <c:pt idx="1">
                  <c:v>1980</c:v>
                </c:pt>
                <c:pt idx="2">
                  <c:v>1981</c:v>
                </c:pt>
                <c:pt idx="3">
                  <c:v>1982</c:v>
                </c:pt>
                <c:pt idx="4">
                  <c:v>1983</c:v>
                </c:pt>
                <c:pt idx="5">
                  <c:v>1984</c:v>
                </c:pt>
                <c:pt idx="6">
                  <c:v>1985</c:v>
                </c:pt>
                <c:pt idx="7">
                  <c:v>1986</c:v>
                </c:pt>
                <c:pt idx="10">
                  <c:v>1987</c:v>
                </c:pt>
                <c:pt idx="11">
                  <c:v>1988</c:v>
                </c:pt>
              </c:numCache>
            </c:numRef>
          </c:cat>
          <c:val>
            <c:numRef>
              <c:f>'Migración Total'!$W$4:$W$15</c:f>
              <c:numCache>
                <c:ptCount val="12"/>
                <c:pt idx="0">
                  <c:v>2226</c:v>
                </c:pt>
                <c:pt idx="1">
                  <c:v>3980</c:v>
                </c:pt>
                <c:pt idx="2">
                  <c:v>4036</c:v>
                </c:pt>
                <c:pt idx="3">
                  <c:v>6067</c:v>
                </c:pt>
                <c:pt idx="4">
                  <c:v>7254</c:v>
                </c:pt>
                <c:pt idx="5">
                  <c:v>7627</c:v>
                </c:pt>
                <c:pt idx="6">
                  <c:v>6279</c:v>
                </c:pt>
                <c:pt idx="7">
                  <c:v>12126</c:v>
                </c:pt>
                <c:pt idx="10">
                  <c:v>17769</c:v>
                </c:pt>
                <c:pt idx="11">
                  <c:v>17192</c:v>
                </c:pt>
              </c:numCache>
            </c:numRef>
          </c:val>
        </c:ser>
        <c:ser>
          <c:idx val="1"/>
          <c:order val="1"/>
          <c:tx>
            <c:strRef>
              <c:f>'Migración Total'!$X$3</c:f>
              <c:strCache>
                <c:ptCount val="1"/>
                <c:pt idx="0">
                  <c:v>Extranjeros</c:v>
                </c:pt>
              </c:strCache>
            </c:strRef>
          </c:tx>
          <c:extLst>
            <c:ext xmlns:c14="http://schemas.microsoft.com/office/drawing/2007/8/2/chart" uri="{6F2FDCE9-48DA-4B69-8628-5D25D57E5C99}">
              <c14:invertSolidFillFmt>
                <c14:spPr>
                  <a:solidFill>
                    <a:srgbClr val="000000"/>
                  </a:solidFill>
                </c14:spPr>
              </c14:invertSolidFillFmt>
            </c:ext>
          </c:extLst>
          <c:cat>
            <c:numRef>
              <c:f>'Migración Total'!$V$4:$V$15</c:f>
              <c:numCache>
                <c:ptCount val="12"/>
                <c:pt idx="0">
                  <c:v>1979</c:v>
                </c:pt>
                <c:pt idx="1">
                  <c:v>1980</c:v>
                </c:pt>
                <c:pt idx="2">
                  <c:v>1981</c:v>
                </c:pt>
                <c:pt idx="3">
                  <c:v>1982</c:v>
                </c:pt>
                <c:pt idx="4">
                  <c:v>1983</c:v>
                </c:pt>
                <c:pt idx="5">
                  <c:v>1984</c:v>
                </c:pt>
                <c:pt idx="6">
                  <c:v>1985</c:v>
                </c:pt>
                <c:pt idx="7">
                  <c:v>1986</c:v>
                </c:pt>
                <c:pt idx="10">
                  <c:v>1987</c:v>
                </c:pt>
                <c:pt idx="11">
                  <c:v>1988</c:v>
                </c:pt>
              </c:numCache>
            </c:numRef>
          </c:cat>
          <c:val>
            <c:numRef>
              <c:f>'Migración Total'!$X$4:$X$15</c:f>
              <c:numCache>
                <c:ptCount val="12"/>
                <c:pt idx="0">
                  <c:v>9539</c:v>
                </c:pt>
                <c:pt idx="1">
                  <c:v>13465</c:v>
                </c:pt>
                <c:pt idx="2">
                  <c:v>12229</c:v>
                </c:pt>
                <c:pt idx="3">
                  <c:v>11056</c:v>
                </c:pt>
                <c:pt idx="4">
                  <c:v>10402</c:v>
                </c:pt>
                <c:pt idx="5">
                  <c:v>11231</c:v>
                </c:pt>
                <c:pt idx="6">
                  <c:v>11561</c:v>
                </c:pt>
                <c:pt idx="7">
                  <c:v>13897</c:v>
                </c:pt>
                <c:pt idx="10">
                  <c:v>14826</c:v>
                </c:pt>
                <c:pt idx="11">
                  <c:v>23553</c:v>
                </c:pt>
              </c:numCache>
            </c:numRef>
          </c:val>
        </c:ser>
        <c:axId val="56913630"/>
        <c:axId val="42460623"/>
      </c:areaChart>
      <c:catAx>
        <c:axId val="56913630"/>
        <c:scaling>
          <c:orientation val="minMax"/>
        </c:scaling>
        <c:axPos val="b"/>
        <c:delete val="0"/>
        <c:numFmt formatCode="General" sourceLinked="1"/>
        <c:majorTickMark val="out"/>
        <c:minorTickMark val="none"/>
        <c:tickLblPos val="nextTo"/>
        <c:crossAx val="42460623"/>
        <c:crosses val="autoZero"/>
        <c:auto val="1"/>
        <c:lblOffset val="100"/>
        <c:noMultiLvlLbl val="0"/>
      </c:catAx>
      <c:valAx>
        <c:axId val="42460623"/>
        <c:scaling>
          <c:orientation val="minMax"/>
        </c:scaling>
        <c:axPos val="l"/>
        <c:majorGridlines/>
        <c:delete val="0"/>
        <c:numFmt formatCode="General" sourceLinked="1"/>
        <c:majorTickMark val="out"/>
        <c:minorTickMark val="none"/>
        <c:tickLblPos val="nextTo"/>
        <c:crossAx val="5691363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'Migración Total'!$A$62:$A$68</c:f>
              <c:numCache>
                <c:ptCount val="7"/>
                <c:pt idx="0">
                  <c:v>1950</c:v>
                </c:pt>
                <c:pt idx="1">
                  <c:v>1962</c:v>
                </c:pt>
                <c:pt idx="2">
                  <c:v>1974</c:v>
                </c:pt>
                <c:pt idx="3">
                  <c:v>1982</c:v>
                </c:pt>
                <c:pt idx="4">
                  <c:v>1990</c:v>
                </c:pt>
                <c:pt idx="5">
                  <c:v>1998</c:v>
                </c:pt>
                <c:pt idx="6">
                  <c:v>2001</c:v>
                </c:pt>
              </c:numCache>
            </c:numRef>
          </c:xVal>
          <c:yVal>
            <c:numRef>
              <c:f>'Migración Total'!$B$62:$B$68</c:f>
              <c:numCache>
                <c:ptCount val="7"/>
                <c:pt idx="0">
                  <c:v>1346</c:v>
                </c:pt>
                <c:pt idx="1">
                  <c:v>2391</c:v>
                </c:pt>
                <c:pt idx="2">
                  <c:v>4037</c:v>
                </c:pt>
                <c:pt idx="3">
                  <c:v>6119</c:v>
                </c:pt>
                <c:pt idx="4">
                  <c:v>9785</c:v>
                </c:pt>
                <c:pt idx="5">
                  <c:v>15311</c:v>
                </c:pt>
                <c:pt idx="6">
                  <c:v>17868</c:v>
                </c:pt>
              </c:numCache>
            </c:numRef>
          </c:yVal>
          <c:smooth val="1"/>
        </c:ser>
        <c:axId val="46601288"/>
        <c:axId val="16758409"/>
      </c:scatterChart>
      <c:valAx>
        <c:axId val="46601288"/>
        <c:scaling>
          <c:orientation val="minMax"/>
        </c:scaling>
        <c:axPos val="b"/>
        <c:title>
          <c:tx>
            <c:rich>
              <a:bodyPr vert="horz" rot="0" anchor="ctr"/>
              <a:lstStyle/>
              <a:p>
                <a:pPr algn="ctr">
                  <a:defRPr/>
                </a:pPr>
                <a:r>
                  <a:rPr lang="en-US" cap="none" sz="950" b="1" i="0" u="none" baseline="0">
                    <a:latin typeface="Arial"/>
                    <a:ea typeface="Arial"/>
                    <a:cs typeface="Arial"/>
                  </a:rPr>
                  <a:t>Año</a:t>
                </a:r>
              </a:p>
            </c:rich>
          </c:tx>
          <c:layout/>
          <c:overlay val="0"/>
          <c:spPr>
            <a:noFill/>
            <a:ln>
              <a:noFill/>
            </a:ln>
          </c:spPr>
        </c:title>
        <c:delete val="0"/>
        <c:numFmt formatCode="General" sourceLinked="1"/>
        <c:majorTickMark val="out"/>
        <c:minorTickMark val="none"/>
        <c:tickLblPos val="nextTo"/>
        <c:crossAx val="16758409"/>
        <c:crosses val="autoZero"/>
        <c:crossBetween val="midCat"/>
        <c:dispUnits/>
      </c:valAx>
      <c:valAx>
        <c:axId val="16758409"/>
        <c:scaling>
          <c:orientation val="minMax"/>
        </c:scaling>
        <c:axPos val="l"/>
        <c:title>
          <c:tx>
            <c:rich>
              <a:bodyPr vert="horz" rot="-5400000" anchor="ctr"/>
              <a:lstStyle/>
              <a:p>
                <a:pPr algn="ctr">
                  <a:defRPr/>
                </a:pPr>
                <a:r>
                  <a:rPr lang="en-US" cap="none" sz="950" b="1" i="0" u="none" baseline="0">
                    <a:latin typeface="Arial"/>
                    <a:ea typeface="Arial"/>
                    <a:cs typeface="Arial"/>
                  </a:rPr>
                  <a:t>Población</a:t>
                </a:r>
              </a:p>
            </c:rich>
          </c:tx>
          <c:layout/>
          <c:overlay val="0"/>
          <c:spPr>
            <a:noFill/>
            <a:ln>
              <a:noFill/>
            </a:ln>
          </c:spPr>
        </c:title>
        <c:majorGridlines/>
        <c:delete val="0"/>
        <c:numFmt formatCode="General" sourceLinked="1"/>
        <c:majorTickMark val="out"/>
        <c:minorTickMark val="none"/>
        <c:tickLblPos val="nextTo"/>
        <c:crossAx val="466012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Total'!#REF!</c:f>
              <c:strCache>
                <c:ptCount val="1"/>
                <c:pt idx="0">
                  <c:v>1</c:v>
                </c:pt>
              </c:strCache>
            </c:strRef>
          </c:cat>
          <c:val>
            <c:numRef>
              <c:f>'Migración Total'!#REF!</c:f>
              <c:numCache>
                <c:ptCount val="1"/>
                <c:pt idx="0">
                  <c:v>1</c:v>
                </c:pt>
              </c:numCache>
            </c:numRef>
          </c:val>
          <c:smooth val="1"/>
        </c:ser>
        <c:axId val="16607954"/>
        <c:axId val="15253859"/>
      </c:lineChart>
      <c:catAx>
        <c:axId val="16607954"/>
        <c:scaling>
          <c:orientation val="minMax"/>
        </c:scaling>
        <c:axPos val="b"/>
        <c:delete val="0"/>
        <c:numFmt formatCode="General" sourceLinked="1"/>
        <c:majorTickMark val="in"/>
        <c:minorTickMark val="none"/>
        <c:tickLblPos val="nextTo"/>
        <c:crossAx val="15253859"/>
        <c:crosses val="autoZero"/>
        <c:auto val="0"/>
        <c:lblOffset val="100"/>
        <c:noMultiLvlLbl val="0"/>
      </c:catAx>
      <c:valAx>
        <c:axId val="15253859"/>
        <c:scaling>
          <c:orientation val="minMax"/>
        </c:scaling>
        <c:axPos val="l"/>
        <c:delete val="0"/>
        <c:numFmt formatCode="General" sourceLinked="1"/>
        <c:majorTickMark val="in"/>
        <c:minorTickMark val="none"/>
        <c:tickLblPos val="nextTo"/>
        <c:crossAx val="16607954"/>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'Migración Total'!$F$3</c:f>
              <c:strCache>
                <c:ptCount val="1"/>
                <c:pt idx="0">
                  <c:v>Crecimiento Neto de Migración (5)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Total'!$F$4:$F$9</c:f>
              <c:numCache>
                <c:ptCount val="6"/>
                <c:pt idx="1">
                  <c:v>1.1847667787177274</c:v>
                </c:pt>
                <c:pt idx="2">
                  <c:v>2.9614642269754965</c:v>
                </c:pt>
                <c:pt idx="3">
                  <c:v>1.7787815126310447</c:v>
                </c:pt>
              </c:numCache>
            </c:numRef>
          </c:val>
          <c:smooth val="0"/>
        </c:ser>
        <c:ser>
          <c:idx val="1"/>
          <c:order val="1"/>
          <c:tx>
            <c:strRef>
              <c:f>'Migración Total'!$G$3</c:f>
              <c:strCache>
                <c:ptCount val="1"/>
                <c:pt idx="0">
                  <c:v>Crecimiento por Inmigración (6)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Total'!$G$4:$G$9</c:f>
              <c:numCache>
                <c:ptCount val="6"/>
                <c:pt idx="0">
                  <c:v>4.1199294384703045</c:v>
                </c:pt>
                <c:pt idx="1">
                  <c:v>3.4354065470989736</c:v>
                </c:pt>
                <c:pt idx="2">
                  <c:v>3.870224937870348</c:v>
                </c:pt>
                <c:pt idx="3">
                  <c:v>4.087800030951483</c:v>
                </c:pt>
                <c:pt idx="4">
                  <c:v>3.758530821606243</c:v>
                </c:pt>
              </c:numCache>
            </c:numRef>
          </c:val>
          <c:smooth val="0"/>
        </c:ser>
        <c:ser>
          <c:idx val="2"/>
          <c:order val="2"/>
          <c:tx>
            <c:strRef>
              <c:f>'Migración Total'!$H$3</c:f>
              <c:strCache>
                <c:ptCount val="1"/>
                <c:pt idx="0">
                  <c:v>Tasa de Crecimiento Poblacional (7)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Total'!$H$4:$H$9</c:f>
              <c:numCache>
                <c:ptCount val="6"/>
                <c:pt idx="0">
                  <c:v>4.9046026259171205</c:v>
                </c:pt>
                <c:pt idx="1">
                  <c:v>4.4615817901605626</c:v>
                </c:pt>
                <c:pt idx="2">
                  <c:v>6.121431714592207</c:v>
                </c:pt>
                <c:pt idx="3">
                  <c:v>6.043742653812401</c:v>
                </c:pt>
                <c:pt idx="4">
                  <c:v>6.40836716359543</c:v>
                </c:pt>
                <c:pt idx="5">
                  <c:v>5.041185688568817</c:v>
                </c:pt>
              </c:numCache>
            </c:numRef>
          </c:val>
          <c:smooth val="0"/>
        </c:ser>
        <c:axId val="3067004"/>
        <c:axId val="27603037"/>
      </c:lineChart>
      <c:catAx>
        <c:axId val="3067004"/>
        <c:scaling>
          <c:orientation val="minMax"/>
        </c:scaling>
        <c:axPos val="b"/>
        <c:title>
          <c:tx>
            <c:rich>
              <a:bodyPr vert="horz" rot="0" anchor="ctr"/>
              <a:lstStyle/>
              <a:p>
                <a:pPr algn="ctr">
                  <a:defRPr/>
                </a:pPr>
                <a:r>
                  <a:rPr lang="en-US" cap="none" sz="925" b="1" i="0" u="none" baseline="0">
                    <a:latin typeface="Arial"/>
                    <a:ea typeface="Arial"/>
                    <a:cs typeface="Arial"/>
                  </a:rPr>
                  <a:t>Período de Tiempo</a:t>
                </a:r>
              </a:p>
            </c:rich>
          </c:tx>
          <c:layout/>
          <c:overlay val="0"/>
          <c:spPr>
            <a:noFill/>
            <a:ln>
              <a:noFill/>
            </a:ln>
          </c:spPr>
        </c:title>
        <c:delete val="0"/>
        <c:numFmt formatCode="General" sourceLinked="1"/>
        <c:majorTickMark val="out"/>
        <c:minorTickMark val="none"/>
        <c:tickLblPos val="nextTo"/>
        <c:crossAx val="27603037"/>
        <c:crosses val="autoZero"/>
        <c:auto val="1"/>
        <c:lblOffset val="100"/>
        <c:noMultiLvlLbl val="0"/>
      </c:catAx>
      <c:valAx>
        <c:axId val="27603037"/>
        <c:scaling>
          <c:orientation val="minMax"/>
        </c:scaling>
        <c:axPos val="l"/>
        <c:title>
          <c:tx>
            <c:rich>
              <a:bodyPr vert="horz" rot="-5400000" anchor="ctr"/>
              <a:lstStyle/>
              <a:p>
                <a:pPr algn="ctr">
                  <a:defRPr/>
                </a:pPr>
                <a:r>
                  <a:rPr lang="en-US" cap="none" sz="925" b="1" i="0" u="none" baseline="0">
                    <a:latin typeface="Arial"/>
                    <a:ea typeface="Arial"/>
                    <a:cs typeface="Arial"/>
                  </a:rPr>
                  <a:t>% de crecimiento anual</a:t>
                </a:r>
              </a:p>
            </c:rich>
          </c:tx>
          <c:layout/>
          <c:overlay val="0"/>
          <c:spPr>
            <a:noFill/>
            <a:ln>
              <a:noFill/>
            </a:ln>
          </c:spPr>
        </c:title>
        <c:majorGridlines/>
        <c:delete val="0"/>
        <c:numFmt formatCode="General" sourceLinked="1"/>
        <c:majorTickMark val="out"/>
        <c:minorTickMark val="none"/>
        <c:tickLblPos val="nextTo"/>
        <c:crossAx val="30670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385"/>
          <c:w val="0.89675"/>
          <c:h val="0.811"/>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'Migración Total'!$A$4:$A$9</c:f>
              <c:strCache>
                <c:ptCount val="6"/>
                <c:pt idx="0">
                  <c:v>1950-1961</c:v>
                </c:pt>
                <c:pt idx="1">
                  <c:v>1962-1973</c:v>
                </c:pt>
                <c:pt idx="2">
                  <c:v>1974-1982</c:v>
                </c:pt>
                <c:pt idx="3">
                  <c:v>1982-1989</c:v>
                </c:pt>
                <c:pt idx="4">
                  <c:v>1990-1997</c:v>
                </c:pt>
                <c:pt idx="5">
                  <c:v>1998-2001</c:v>
                </c:pt>
              </c:strCache>
            </c:strRef>
          </c:cat>
          <c:val>
            <c:numRef>
              <c:f>'Migración Total'!$N$4:$N$9</c:f>
              <c:numCache>
                <c:ptCount val="6"/>
                <c:pt idx="0">
                  <c:v>4.9046026259171205</c:v>
                </c:pt>
                <c:pt idx="1">
                  <c:v>4.4615817901605626</c:v>
                </c:pt>
                <c:pt idx="2">
                  <c:v>5.336215966434965</c:v>
                </c:pt>
                <c:pt idx="3">
                  <c:v>6.043742653812401</c:v>
                </c:pt>
                <c:pt idx="4">
                  <c:v>5.756079054430252</c:v>
                </c:pt>
                <c:pt idx="5">
                  <c:v>5.04</c:v>
                </c:pt>
              </c:numCache>
            </c:numRef>
          </c:val>
          <c:smooth val="1"/>
        </c:ser>
        <c:axId val="47100742"/>
        <c:axId val="21253495"/>
      </c:lineChart>
      <c:catAx>
        <c:axId val="47100742"/>
        <c:scaling>
          <c:orientation val="minMax"/>
        </c:scaling>
        <c:axPos val="b"/>
        <c:delete val="0"/>
        <c:numFmt formatCode="General" sourceLinked="1"/>
        <c:majorTickMark val="in"/>
        <c:minorTickMark val="none"/>
        <c:tickLblPos val="nextTo"/>
        <c:crossAx val="21253495"/>
        <c:crosses val="autoZero"/>
        <c:auto val="0"/>
        <c:lblOffset val="100"/>
        <c:noMultiLvlLbl val="0"/>
      </c:catAx>
      <c:valAx>
        <c:axId val="21253495"/>
        <c:scaling>
          <c:orientation val="minMax"/>
        </c:scaling>
        <c:axPos val="l"/>
        <c:delete val="0"/>
        <c:numFmt formatCode="General" sourceLinked="1"/>
        <c:majorTickMark val="in"/>
        <c:minorTickMark val="none"/>
        <c:tickLblPos val="nextTo"/>
        <c:crossAx val="47100742"/>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38100</xdr:rowOff>
    </xdr:from>
    <xdr:to>
      <xdr:col>11</xdr:col>
      <xdr:colOff>57150</xdr:colOff>
      <xdr:row>60</xdr:row>
      <xdr:rowOff>19050</xdr:rowOff>
    </xdr:to>
    <xdr:sp>
      <xdr:nvSpPr>
        <xdr:cNvPr id="1" name="TextBox 1"/>
        <xdr:cNvSpPr txBox="1">
          <a:spLocks noChangeArrowheads="1"/>
        </xdr:cNvSpPr>
      </xdr:nvSpPr>
      <xdr:spPr>
        <a:xfrm>
          <a:off x="1123950" y="38100"/>
          <a:ext cx="5486400" cy="969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
</a:t>
          </a:r>
          <a:r>
            <a:rPr lang="en-US" cap="none" sz="1000" b="1" i="0" u="none" baseline="0">
              <a:latin typeface="Arial"/>
              <a:ea typeface="Arial"/>
              <a:cs typeface="Arial"/>
            </a:rPr>
            <a:t>LA MIGRACIÓN Y EL AMBIENTE NATURAL EN LAS ISLAS GALÁPAGOS</a:t>
          </a:r>
          <a:r>
            <a:rPr lang="en-US" cap="none" sz="14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Este es un archivo de Microsoft Excel File que compila los datos y cálculos relevantes que han sido colectados y desarrollados como parte del análisis socio-económico dentro del estudio de migración en Galápagos. El archivo está compuesto de dos secciones principales: la primera, con 4 hojas de trabajo Excel, que contienen datos de migración; y la segunda, con 9 hojas de trabajo que incluyen los principales indicadores socio-económicos que se usaron en el análisis empírico de los factores que impulsan la migración.</a:t>
          </a:r>
          <a:r>
            <a:rPr lang="en-US" cap="none" sz="1400" b="0" i="0" u="none" baseline="0">
              <a:latin typeface="Arial"/>
              <a:ea typeface="Arial"/>
              <a:cs typeface="Arial"/>
            </a:rPr>
            <a:t>
</a:t>
          </a:r>
          <a:r>
            <a:rPr lang="en-US" cap="none" sz="1000" b="0" i="0" u="none" baseline="0">
              <a:latin typeface="Arial"/>
              <a:ea typeface="Arial"/>
              <a:cs typeface="Arial"/>
            </a:rPr>
            <a:t>
Para usar este archivo, es importante conocer que:
a) Cada hoja de trabajo ha sido identificada con un membrete de acuerdo con los datos que contiene.
b) Las fuentes y notas específicas para cada variable (columna en las </a:t>
          </a:r>
          <a:r>
            <a:rPr lang="en-US" cap="none" sz="1000" b="0" i="0" u="none" baseline="0">
              <a:latin typeface="Arial"/>
              <a:ea typeface="Arial"/>
              <a:cs typeface="Arial"/>
            </a:rPr>
            <a:t>tablas) han sido incluidas al pie de cada hoja. Al final de esta guía se halla una lista general de la bibliografía consultada, que puede ser revisada para futuras investigaciones.
c) Para algunos de los indicadores socio-económicos, especialmente aquellos que se refieren a datos de pobreza, se han incluido definiciones como recuadros de texto en la parte inferior de la tabla de datos.
d) Algunos de los gráficos que han sido elaborados en base a los datos se incluyen también en la parte inferior de la respectiva tabla.
e) En caso de cualquier duda o comentario relacionado con los datos incluidos en este anexo, se puede contactar directamente con las autoras, cuyas direcciones se indican en la parte superior de este recuadro. Todos los cálculos fueron elaborados por ellas y cualquier error u omisión es responsabilidad suya.
</a:t>
          </a:r>
          <a:r>
            <a:rPr lang="en-US" cap="none" sz="1000" b="0" i="0" u="sng" baseline="0">
              <a:latin typeface="Arial"/>
              <a:ea typeface="Arial"/>
              <a:cs typeface="Arial"/>
            </a:rPr>
            <a:t>Bibliografía</a:t>
          </a:r>
          <a:r>
            <a:rPr lang="en-US" cap="none" sz="1000" b="0" i="0" u="none" baseline="0">
              <a:latin typeface="Arial"/>
              <a:ea typeface="Arial"/>
              <a:cs typeface="Arial"/>
            </a:rPr>
            <a:t>
Para los datos de migración:
- Fundación Natura y TNC (2000)a, </a:t>
          </a:r>
          <a:r>
            <a:rPr lang="en-US" cap="none" sz="1000" b="0" i="0" u="sng" baseline="0">
              <a:latin typeface="Arial"/>
              <a:ea typeface="Arial"/>
              <a:cs typeface="Arial"/>
            </a:rPr>
            <a:t>Parque Nacional Galápagos: Dinámicas migratorias y sus efectos en el uso de los recursos naturales</a:t>
          </a:r>
          <a:r>
            <a:rPr lang="en-US" cap="none" sz="1000" b="0" i="0" u="none" baseline="0">
              <a:latin typeface="Arial"/>
              <a:ea typeface="Arial"/>
              <a:cs typeface="Arial"/>
            </a:rPr>
            <a:t>, Quito, junio, 2000
- INEC, </a:t>
          </a:r>
          <a:r>
            <a:rPr lang="en-US" cap="none" sz="1000" b="0" i="0" u="sng" baseline="0">
              <a:latin typeface="Arial"/>
              <a:ea typeface="Arial"/>
              <a:cs typeface="Arial"/>
            </a:rPr>
            <a:t>Resultados de los Censos Nacionales de 1974, 1982, 1990</a:t>
          </a:r>
          <a:r>
            <a:rPr lang="en-US" cap="none" sz="1000" b="0" i="0" u="none" baseline="0">
              <a:latin typeface="Arial"/>
              <a:ea typeface="Arial"/>
              <a:cs typeface="Arial"/>
            </a:rPr>
            <a:t>, y  </a:t>
          </a:r>
          <a:r>
            <a:rPr lang="en-US" cap="none" sz="1000" b="0" i="0" u="sng" baseline="0">
              <a:latin typeface="Arial"/>
              <a:ea typeface="Arial"/>
              <a:cs typeface="Arial"/>
            </a:rPr>
            <a:t>Censo de Galápagos de 1998</a:t>
          </a:r>
          <a:r>
            <a:rPr lang="en-US" cap="none" sz="1000" b="0" i="0" u="none" baseline="0">
              <a:latin typeface="Arial"/>
              <a:ea typeface="Arial"/>
              <a:cs typeface="Arial"/>
            </a:rPr>
            <a:t>, Quito
- INEC, </a:t>
          </a:r>
          <a:r>
            <a:rPr lang="en-US" cap="none" sz="1000" b="0" i="0" u="sng" baseline="0">
              <a:latin typeface="Arial"/>
              <a:ea typeface="Arial"/>
              <a:cs typeface="Arial"/>
            </a:rPr>
            <a:t>Resultados preliminares del Censo Nacional del 2001</a:t>
          </a:r>
          <a:r>
            <a:rPr lang="en-US" cap="none" sz="1000" b="0" i="0" u="none" baseline="0">
              <a:latin typeface="Arial"/>
              <a:ea typeface="Arial"/>
              <a:cs typeface="Arial"/>
            </a:rPr>
            <a:t>, Quito, 2002
- INEC, </a:t>
          </a:r>
          <a:r>
            <a:rPr lang="en-US" cap="none" sz="1000" b="0" i="0" u="sng" baseline="0">
              <a:latin typeface="Arial"/>
              <a:ea typeface="Arial"/>
              <a:cs typeface="Arial"/>
            </a:rPr>
            <a:t>Ecuador: Migraciones interprovinciales absolutas acumuladas para los años 1974,1982,1990</a:t>
          </a:r>
          <a:r>
            <a:rPr lang="en-US" cap="none" sz="1000" b="0" i="0" u="none" baseline="0">
              <a:latin typeface="Arial"/>
              <a:ea typeface="Arial"/>
              <a:cs typeface="Arial"/>
            </a:rPr>
            <a:t>, Quito, 1994</a:t>
          </a:r>
          <a:r>
            <a:rPr lang="en-US" cap="none" sz="1000" b="1" i="0" u="none" baseline="0">
              <a:latin typeface="Arial"/>
              <a:ea typeface="Arial"/>
              <a:cs typeface="Arial"/>
            </a:rPr>
            <a:t>
</a:t>
          </a:r>
          <a:r>
            <a:rPr lang="en-US" cap="none" sz="1000" b="0" i="0" u="none" baseline="0">
              <a:latin typeface="Arial"/>
              <a:ea typeface="Arial"/>
              <a:cs typeface="Arial"/>
            </a:rPr>
            <a:t>Para los indicadores socio-económicos:</a:t>
          </a:r>
          <a:r>
            <a:rPr lang="en-US" cap="none" sz="1000" b="1" i="0" u="none" baseline="0">
              <a:latin typeface="Arial"/>
              <a:ea typeface="Arial"/>
              <a:cs typeface="Arial"/>
            </a:rPr>
            <a:t>
</a:t>
          </a:r>
          <a:r>
            <a:rPr lang="en-US" cap="none" sz="1000" b="0" i="0" u="none" baseline="0">
              <a:latin typeface="Arial"/>
              <a:ea typeface="Arial"/>
              <a:cs typeface="Arial"/>
            </a:rPr>
            <a:t>- INEC, </a:t>
          </a:r>
          <a:r>
            <a:rPr lang="en-US" cap="none" sz="1000" b="0" i="0" u="sng" baseline="0">
              <a:latin typeface="Arial"/>
              <a:ea typeface="Arial"/>
              <a:cs typeface="Arial"/>
            </a:rPr>
            <a:t>Resultados de los Censos Nacionales de 1974, 1982, 1990</a:t>
          </a:r>
          <a:r>
            <a:rPr lang="en-US" cap="none" sz="1000" b="0" i="0" u="none" baseline="0">
              <a:latin typeface="Arial"/>
              <a:ea typeface="Arial"/>
              <a:cs typeface="Arial"/>
            </a:rPr>
            <a:t>, y  Censo de Galápagos de 1998, Quito
- ODEPLAN, Base de Datos INFOPLAN, </a:t>
          </a:r>
          <a:r>
            <a:rPr lang="en-US" cap="none" sz="1000" b="0" i="0" u="sng" baseline="0">
              <a:latin typeface="Arial"/>
              <a:ea typeface="Arial"/>
              <a:cs typeface="Arial"/>
            </a:rPr>
            <a:t>Atlas para el Desarrollo Local</a:t>
          </a:r>
          <a:r>
            <a:rPr lang="en-US" cap="none" sz="1000" b="0" i="0" u="none" baseline="0">
              <a:latin typeface="Arial"/>
              <a:ea typeface="Arial"/>
              <a:cs typeface="Arial"/>
            </a:rPr>
            <a:t>, version 1.1, Quito, 2000
- Padilla, Oswaldo, </a:t>
          </a:r>
          <a:r>
            <a:rPr lang="en-US" cap="none" sz="1000" b="0" i="0" u="sng" baseline="0">
              <a:latin typeface="Arial"/>
              <a:ea typeface="Arial"/>
              <a:cs typeface="Arial"/>
            </a:rPr>
            <a:t>Potencial Económico Provincial</a:t>
          </a:r>
          <a:r>
            <a:rPr lang="en-US" cap="none" sz="1000" b="0" i="0" u="none" baseline="0">
              <a:latin typeface="Arial"/>
              <a:ea typeface="Arial"/>
              <a:cs typeface="Arial"/>
            </a:rPr>
            <a:t>, Cuaderno sobre decentralización No. 8, CORDES, Quito, 2001
- SIISE, Base de Datos Versión 2.0, Quito, 2001
</a:t>
          </a:r>
          <a:r>
            <a:rPr lang="en-US" cap="none" sz="1000" b="0" i="0" u="none" baseline="0">
              <a:latin typeface="Arial"/>
              <a:ea typeface="Arial"/>
              <a:cs typeface="Arial"/>
            </a:rPr>
            <a:t>
En caso de preguntas tomar contacto con:
- Susana Cárdenas - Instituto de Ecología Aplicada, Universidad San Francisco de Quito, Ecuador, susanac@mail.usfq.edu.ec
- Dra. Suzi Kerr - Motu Economic and Public Policy Research, New Zealand
</a:t>
          </a:r>
          <a:r>
            <a:rPr lang="en-US" cap="none" sz="1000" b="1" i="0"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152</xdr:row>
      <xdr:rowOff>123825</xdr:rowOff>
    </xdr:from>
    <xdr:to>
      <xdr:col>4</xdr:col>
      <xdr:colOff>266700</xdr:colOff>
      <xdr:row>164</xdr:row>
      <xdr:rowOff>38100</xdr:rowOff>
    </xdr:to>
    <xdr:graphicFrame>
      <xdr:nvGraphicFramePr>
        <xdr:cNvPr id="1" name="Chart 40"/>
        <xdr:cNvGraphicFramePr/>
      </xdr:nvGraphicFramePr>
      <xdr:xfrm>
        <a:off x="152400" y="28251150"/>
        <a:ext cx="3848100" cy="1857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42</xdr:row>
      <xdr:rowOff>0</xdr:rowOff>
    </xdr:from>
    <xdr:to>
      <xdr:col>20</xdr:col>
      <xdr:colOff>0</xdr:colOff>
      <xdr:row>45</xdr:row>
      <xdr:rowOff>104775</xdr:rowOff>
    </xdr:to>
    <xdr:sp>
      <xdr:nvSpPr>
        <xdr:cNvPr id="1" name="TextBox 54"/>
        <xdr:cNvSpPr txBox="1">
          <a:spLocks noChangeArrowheads="1"/>
        </xdr:cNvSpPr>
      </xdr:nvSpPr>
      <xdr:spPr>
        <a:xfrm>
          <a:off x="16135350" y="6924675"/>
          <a:ext cx="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INGALA numbers of departure are not classified by type. Also I would think there are error porcentage if you consider that people entering during the last months of the year would stay in the islands until next year, then the departure figure will be subestimated regarding the last entrances.  They include a last number of "how many people stay" which is the difference between the total entrance and the total departures by year.
*** Data for 1998 is incomplete because this year INGALA starts doing residence control.</a:t>
          </a:r>
        </a:p>
      </xdr:txBody>
    </xdr:sp>
    <xdr:clientData/>
  </xdr:twoCellAnchor>
  <xdr:twoCellAnchor>
    <xdr:from>
      <xdr:col>20</xdr:col>
      <xdr:colOff>0</xdr:colOff>
      <xdr:row>46</xdr:row>
      <xdr:rowOff>104775</xdr:rowOff>
    </xdr:from>
    <xdr:to>
      <xdr:col>20</xdr:col>
      <xdr:colOff>0</xdr:colOff>
      <xdr:row>50</xdr:row>
      <xdr:rowOff>19050</xdr:rowOff>
    </xdr:to>
    <xdr:sp>
      <xdr:nvSpPr>
        <xdr:cNvPr id="2" name="TextBox 55"/>
        <xdr:cNvSpPr txBox="1">
          <a:spLocks noChangeArrowheads="1"/>
        </xdr:cNvSpPr>
      </xdr:nvSpPr>
      <xdr:spPr>
        <a:xfrm>
          <a:off x="16135350" y="7677150"/>
          <a:ext cx="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National tourists are important because a porcentage of them (unknown) have relatives in the Galapagos and will go to stay in their homes and seek a possibility of finding a job if needed. This is an aspects which has not been quantified
and according to Monica Ribadeneira one of the gaps in the MIGAMA study.</a:t>
          </a:r>
        </a:p>
      </xdr:txBody>
    </xdr:sp>
    <xdr:clientData/>
  </xdr:twoCellAnchor>
  <xdr:twoCellAnchor>
    <xdr:from>
      <xdr:col>20</xdr:col>
      <xdr:colOff>0</xdr:colOff>
      <xdr:row>50</xdr:row>
      <xdr:rowOff>152400</xdr:rowOff>
    </xdr:from>
    <xdr:to>
      <xdr:col>20</xdr:col>
      <xdr:colOff>0</xdr:colOff>
      <xdr:row>60</xdr:row>
      <xdr:rowOff>123825</xdr:rowOff>
    </xdr:to>
    <xdr:sp>
      <xdr:nvSpPr>
        <xdr:cNvPr id="3" name="TextBox 56"/>
        <xdr:cNvSpPr txBox="1">
          <a:spLocks noChangeArrowheads="1"/>
        </xdr:cNvSpPr>
      </xdr:nvSpPr>
      <xdr:spPr>
        <a:xfrm>
          <a:off x="16135350" y="8382000"/>
          <a:ext cx="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My doubts are:
* For total migration, do we will add migration by provinces in sheet 2 plus tourists entrances?  I am confused if the INGALA entrances data will indicate migration.  Does migration include only people who stay after their visit or visitors as well?  In total migration, column b I put the total numbers by period gotten in sheet 2.
* Data about these categories is not consistant among Natura Reports, MIGAMA and INGALA figures.
* Should we put another period for years 1998-2000 or 2001, because we will be analyzing periods and the beggining and years at the end?
* We do not have temporary residents data at all for years previous 1998
* Flotating population, "transeunte" in spanish, will be the number to include in the last group "population at the beggining of the period" for tourists, however this category was calculated for the first time in the Galapagos Census 1998, there are not other records for past years.  
</a:t>
          </a:r>
        </a:p>
      </xdr:txBody>
    </xdr:sp>
    <xdr:clientData/>
  </xdr:twoCellAnchor>
  <xdr:twoCellAnchor>
    <xdr:from>
      <xdr:col>14</xdr:col>
      <xdr:colOff>171450</xdr:colOff>
      <xdr:row>53</xdr:row>
      <xdr:rowOff>0</xdr:rowOff>
    </xdr:from>
    <xdr:to>
      <xdr:col>19</xdr:col>
      <xdr:colOff>133350</xdr:colOff>
      <xdr:row>69</xdr:row>
      <xdr:rowOff>142875</xdr:rowOff>
    </xdr:to>
    <xdr:graphicFrame>
      <xdr:nvGraphicFramePr>
        <xdr:cNvPr id="4" name="Chart 57"/>
        <xdr:cNvGraphicFramePr/>
      </xdr:nvGraphicFramePr>
      <xdr:xfrm>
        <a:off x="11401425" y="8715375"/>
        <a:ext cx="4162425" cy="2733675"/>
      </xdr:xfrm>
      <a:graphic>
        <a:graphicData uri="http://schemas.openxmlformats.org/drawingml/2006/chart">
          <c:chart xmlns:c="http://schemas.openxmlformats.org/drawingml/2006/chart" r:id="rId1"/>
        </a:graphicData>
      </a:graphic>
    </xdr:graphicFrame>
    <xdr:clientData/>
  </xdr:twoCellAnchor>
  <xdr:twoCellAnchor>
    <xdr:from>
      <xdr:col>2</xdr:col>
      <xdr:colOff>133350</xdr:colOff>
      <xdr:row>60</xdr:row>
      <xdr:rowOff>9525</xdr:rowOff>
    </xdr:from>
    <xdr:to>
      <xdr:col>7</xdr:col>
      <xdr:colOff>323850</xdr:colOff>
      <xdr:row>74</xdr:row>
      <xdr:rowOff>0</xdr:rowOff>
    </xdr:to>
    <xdr:graphicFrame>
      <xdr:nvGraphicFramePr>
        <xdr:cNvPr id="5" name="Chart 58"/>
        <xdr:cNvGraphicFramePr/>
      </xdr:nvGraphicFramePr>
      <xdr:xfrm>
        <a:off x="1771650" y="9858375"/>
        <a:ext cx="4181475" cy="22574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45</xdr:row>
      <xdr:rowOff>28575</xdr:rowOff>
    </xdr:from>
    <xdr:to>
      <xdr:col>20</xdr:col>
      <xdr:colOff>0</xdr:colOff>
      <xdr:row>62</xdr:row>
      <xdr:rowOff>19050</xdr:rowOff>
    </xdr:to>
    <xdr:graphicFrame>
      <xdr:nvGraphicFramePr>
        <xdr:cNvPr id="6" name="Chart 59"/>
        <xdr:cNvGraphicFramePr/>
      </xdr:nvGraphicFramePr>
      <xdr:xfrm>
        <a:off x="16135350" y="7439025"/>
        <a:ext cx="0" cy="27527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45</xdr:row>
      <xdr:rowOff>133350</xdr:rowOff>
    </xdr:from>
    <xdr:to>
      <xdr:col>5</xdr:col>
      <xdr:colOff>600075</xdr:colOff>
      <xdr:row>59</xdr:row>
      <xdr:rowOff>85725</xdr:rowOff>
    </xdr:to>
    <xdr:graphicFrame>
      <xdr:nvGraphicFramePr>
        <xdr:cNvPr id="7" name="Chart 60"/>
        <xdr:cNvGraphicFramePr/>
      </xdr:nvGraphicFramePr>
      <xdr:xfrm>
        <a:off x="76200" y="7543800"/>
        <a:ext cx="4572000" cy="2228850"/>
      </xdr:xfrm>
      <a:graphic>
        <a:graphicData uri="http://schemas.openxmlformats.org/drawingml/2006/chart">
          <c:chart xmlns:c="http://schemas.openxmlformats.org/drawingml/2006/chart" r:id="rId4"/>
        </a:graphicData>
      </a:graphic>
    </xdr:graphicFrame>
    <xdr:clientData/>
  </xdr:twoCellAnchor>
  <xdr:twoCellAnchor>
    <xdr:from>
      <xdr:col>7</xdr:col>
      <xdr:colOff>371475</xdr:colOff>
      <xdr:row>45</xdr:row>
      <xdr:rowOff>57150</xdr:rowOff>
    </xdr:from>
    <xdr:to>
      <xdr:col>12</xdr:col>
      <xdr:colOff>419100</xdr:colOff>
      <xdr:row>62</xdr:row>
      <xdr:rowOff>66675</xdr:rowOff>
    </xdr:to>
    <xdr:graphicFrame>
      <xdr:nvGraphicFramePr>
        <xdr:cNvPr id="8" name="Chart 61"/>
        <xdr:cNvGraphicFramePr/>
      </xdr:nvGraphicFramePr>
      <xdr:xfrm>
        <a:off x="6000750" y="7467600"/>
        <a:ext cx="4067175" cy="27717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29</xdr:row>
      <xdr:rowOff>95250</xdr:rowOff>
    </xdr:from>
    <xdr:to>
      <xdr:col>9</xdr:col>
      <xdr:colOff>0</xdr:colOff>
      <xdr:row>37</xdr:row>
      <xdr:rowOff>57150</xdr:rowOff>
    </xdr:to>
    <xdr:sp>
      <xdr:nvSpPr>
        <xdr:cNvPr id="1" name="TextBox 7"/>
        <xdr:cNvSpPr txBox="1">
          <a:spLocks noChangeArrowheads="1"/>
        </xdr:cNvSpPr>
      </xdr:nvSpPr>
      <xdr:spPr>
        <a:xfrm>
          <a:off x="180975" y="5057775"/>
          <a:ext cx="63055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Incidencia de la Pobreza</a:t>
          </a:r>
          <a:r>
            <a:rPr lang="en-US" cap="none" sz="800" b="0" i="0" u="none" baseline="0">
              <a:latin typeface="Arial"/>
              <a:ea typeface="Arial"/>
              <a:cs typeface="Arial"/>
            </a:rPr>
            <a:t>: porcentaje de la población que se encuentra debajo de la línea de pobreza. La línea de pobreza equivale al costo de la canasta de bienes y servicios que permite satisfacer las necesidades básicas de educación, salud, nutrición y vivienda. Su valor es de $ 55 (1994) por mes / persona. La medición se basa en la proyección del consumo, mediante modelos de regresión múltiple, de la Encuesta de Condiciones de Vida (1995) al censo de 1990. La medición del consumo proporciona resultados más estables y confiables que la del ingreso. INEC, Censo de Población y Vivienda de 1990; INEC- Banco Mundial, Encuesta de Condiciones de Vida, 1995.</a:t>
          </a:r>
        </a:p>
      </xdr:txBody>
    </xdr:sp>
    <xdr:clientData/>
  </xdr:twoCellAnchor>
  <xdr:twoCellAnchor>
    <xdr:from>
      <xdr:col>0</xdr:col>
      <xdr:colOff>171450</xdr:colOff>
      <xdr:row>38</xdr:row>
      <xdr:rowOff>9525</xdr:rowOff>
    </xdr:from>
    <xdr:to>
      <xdr:col>8</xdr:col>
      <xdr:colOff>600075</xdr:colOff>
      <xdr:row>46</xdr:row>
      <xdr:rowOff>9525</xdr:rowOff>
    </xdr:to>
    <xdr:sp>
      <xdr:nvSpPr>
        <xdr:cNvPr id="2" name="TextBox 8"/>
        <xdr:cNvSpPr txBox="1">
          <a:spLocks noChangeArrowheads="1"/>
        </xdr:cNvSpPr>
      </xdr:nvSpPr>
      <xdr:spPr>
        <a:xfrm>
          <a:off x="171450" y="6429375"/>
          <a:ext cx="6305550" cy="129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Incidencia de la Indigencia</a:t>
          </a:r>
          <a:r>
            <a:rPr lang="en-US" cap="none" sz="800" b="0" i="0" u="none" baseline="0">
              <a:latin typeface="Arial"/>
              <a:ea typeface="Arial"/>
              <a:cs typeface="Arial"/>
            </a:rPr>
            <a:t>: porcentaje de la población que se encuentra debajo de la línea de indigencia. La línea de indigencia equivale al costo de una canasta básica de alimentos que reúna los requisitos nutricionales mínimos. Se ubica en la mitad de la línea de pobreza. Su valor es de $ 28 (1994) por mes / persona. La medición se basa en la proyección del consumo de la Encuesta de Condiciones de Vida de 1995 al Censo de 1990. La medición del consumo proporciona resultados más estables y confiables que la del ingreso. INEC, Censo de Población y Vivienda de 1990; INEC- Banco Mundial, Encuesta de Condiciones de Vida, 1995.</a:t>
          </a:r>
        </a:p>
      </xdr:txBody>
    </xdr:sp>
    <xdr:clientData/>
  </xdr:twoCellAnchor>
  <xdr:twoCellAnchor>
    <xdr:from>
      <xdr:col>0</xdr:col>
      <xdr:colOff>133350</xdr:colOff>
      <xdr:row>47</xdr:row>
      <xdr:rowOff>28575</xdr:rowOff>
    </xdr:from>
    <xdr:to>
      <xdr:col>8</xdr:col>
      <xdr:colOff>561975</xdr:colOff>
      <xdr:row>54</xdr:row>
      <xdr:rowOff>28575</xdr:rowOff>
    </xdr:to>
    <xdr:sp>
      <xdr:nvSpPr>
        <xdr:cNvPr id="3" name="TextBox 9"/>
        <xdr:cNvSpPr txBox="1">
          <a:spLocks noChangeArrowheads="1"/>
        </xdr:cNvSpPr>
      </xdr:nvSpPr>
      <xdr:spPr>
        <a:xfrm>
          <a:off x="133350" y="7905750"/>
          <a:ext cx="630555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Indice de Necesidades Basicas Insatisfechas</a:t>
          </a:r>
          <a:r>
            <a:rPr lang="en-US" cap="none" sz="800" b="0" i="0" u="none" baseline="0">
              <a:latin typeface="Arial"/>
              <a:ea typeface="Arial"/>
              <a:cs typeface="Arial"/>
            </a:rPr>
            <a:t>: es el complemento respecto a 100 del Indice de Desarrollo Social. Este índice está en una escala de 0 a 100 puntos, sus valores mayores indican peores condiciones sociales (mayores necesidades) y viceversa. Su fórmula es:  INBI = 100 – IDS  INEC, Censo de Población y Vivienda de 1990; Marcelo Moreano, Fernando Carrasco y  Jorge Bacallao. Desnutrición y condiciones socio económicas en el Ecuador, CONADE - UNICEF - OPS,  Quito, 1994; INEC - Banco Mundial, Encuesta de Condiciones de Vida, 1995.</a:t>
          </a:r>
        </a:p>
      </xdr:txBody>
    </xdr:sp>
    <xdr:clientData/>
  </xdr:twoCellAnchor>
  <xdr:twoCellAnchor>
    <xdr:from>
      <xdr:col>9</xdr:col>
      <xdr:colOff>0</xdr:colOff>
      <xdr:row>11</xdr:row>
      <xdr:rowOff>57150</xdr:rowOff>
    </xdr:from>
    <xdr:to>
      <xdr:col>9</xdr:col>
      <xdr:colOff>0</xdr:colOff>
      <xdr:row>13</xdr:row>
      <xdr:rowOff>123825</xdr:rowOff>
    </xdr:to>
    <xdr:sp>
      <xdr:nvSpPr>
        <xdr:cNvPr id="4" name="TextBox 10"/>
        <xdr:cNvSpPr txBox="1">
          <a:spLocks noChangeArrowheads="1"/>
        </xdr:cNvSpPr>
      </xdr:nvSpPr>
      <xdr:spPr>
        <a:xfrm>
          <a:off x="6486525" y="2114550"/>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There is historical data classified by regions.  They have separated main cities.  It is assumed that Galapagos is included in "Costa Urbana sin Guayaquil".  Data by provinces is only based on last Census.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28575</xdr:rowOff>
    </xdr:from>
    <xdr:to>
      <xdr:col>7</xdr:col>
      <xdr:colOff>342900</xdr:colOff>
      <xdr:row>33</xdr:row>
      <xdr:rowOff>57150</xdr:rowOff>
    </xdr:to>
    <xdr:sp>
      <xdr:nvSpPr>
        <xdr:cNvPr id="1" name="TextBox 5"/>
        <xdr:cNvSpPr txBox="1">
          <a:spLocks noChangeArrowheads="1"/>
        </xdr:cNvSpPr>
      </xdr:nvSpPr>
      <xdr:spPr>
        <a:xfrm>
          <a:off x="9525" y="5114925"/>
          <a:ext cx="63150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
Tasa global de fecundidad:</a:t>
          </a:r>
          <a:r>
            <a:rPr lang="en-US" cap="none" sz="800" b="0" i="0" u="none" baseline="0">
              <a:latin typeface="Arial"/>
              <a:ea typeface="Arial"/>
              <a:cs typeface="Arial"/>
            </a:rPr>
            <a:t> número promedio de hijos/as que nacen de mujeres en edad reproductiva (entre 15 y 49 años) considerando tasas de fertilidad constantes para cada año.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L72"/>
  <sheetViews>
    <sheetView workbookViewId="0" topLeftCell="A55">
      <selection activeCell="F63" sqref="F63"/>
    </sheetView>
  </sheetViews>
  <sheetFormatPr defaultColWidth="9.140625" defaultRowHeight="12.75"/>
  <cols>
    <col min="1" max="1" width="6.8515625" style="3" customWidth="1"/>
    <col min="2" max="3" width="9.140625" style="3" customWidth="1"/>
    <col min="4" max="16384" width="9.140625" style="3" customWidth="1"/>
  </cols>
  <sheetData>
    <row r="4" ht="12.75">
      <c r="A4" s="3" t="s">
        <v>221</v>
      </c>
    </row>
    <row r="64" ht="12.75"/>
    <row r="65" ht="13.5" thickBot="1">
      <c r="A65" s="230" t="s">
        <v>298</v>
      </c>
    </row>
    <row r="66" spans="1:12" ht="25.5">
      <c r="A66" s="231" t="s">
        <v>299</v>
      </c>
      <c r="B66" s="232">
        <v>1991</v>
      </c>
      <c r="C66" s="232">
        <v>1992</v>
      </c>
      <c r="D66" s="232">
        <v>1993</v>
      </c>
      <c r="E66" s="232">
        <v>1994</v>
      </c>
      <c r="F66" s="232">
        <v>1995</v>
      </c>
      <c r="G66" s="232">
        <v>1996</v>
      </c>
      <c r="H66" s="232">
        <v>1997</v>
      </c>
      <c r="I66" s="232">
        <v>1998</v>
      </c>
      <c r="J66" s="232">
        <v>1999</v>
      </c>
      <c r="K66" s="232">
        <v>2000</v>
      </c>
      <c r="L66" s="233">
        <v>2001</v>
      </c>
    </row>
    <row r="67" spans="1:12" ht="25.5">
      <c r="A67" s="234" t="s">
        <v>91</v>
      </c>
      <c r="B67" s="235">
        <v>25</v>
      </c>
      <c r="C67" s="235">
        <v>30</v>
      </c>
      <c r="D67" s="235">
        <v>38</v>
      </c>
      <c r="E67" s="235">
        <v>44</v>
      </c>
      <c r="F67" s="235">
        <v>32</v>
      </c>
      <c r="G67" s="235">
        <v>42</v>
      </c>
      <c r="H67" s="235">
        <v>46</v>
      </c>
      <c r="I67" s="235">
        <v>32</v>
      </c>
      <c r="J67" s="235">
        <v>40</v>
      </c>
      <c r="K67" s="235">
        <v>42</v>
      </c>
      <c r="L67" s="236">
        <v>57</v>
      </c>
    </row>
    <row r="68" spans="1:12" ht="25.5">
      <c r="A68" s="234" t="s">
        <v>90</v>
      </c>
      <c r="B68" s="235">
        <v>32</v>
      </c>
      <c r="C68" s="235">
        <v>29</v>
      </c>
      <c r="D68" s="235">
        <v>26</v>
      </c>
      <c r="E68" s="235">
        <v>33</v>
      </c>
      <c r="F68" s="235">
        <v>34</v>
      </c>
      <c r="G68" s="235">
        <v>41</v>
      </c>
      <c r="H68" s="235">
        <v>37</v>
      </c>
      <c r="I68" s="235">
        <v>27</v>
      </c>
      <c r="J68" s="235">
        <v>24</v>
      </c>
      <c r="K68" s="235">
        <v>35</v>
      </c>
      <c r="L68" s="236">
        <v>45</v>
      </c>
    </row>
    <row r="69" spans="1:12" ht="25.5">
      <c r="A69" s="234" t="s">
        <v>300</v>
      </c>
      <c r="B69" s="235">
        <v>15</v>
      </c>
      <c r="C69" s="235">
        <v>13</v>
      </c>
      <c r="D69" s="235">
        <v>10</v>
      </c>
      <c r="E69" s="235">
        <v>13</v>
      </c>
      <c r="F69" s="235">
        <v>15</v>
      </c>
      <c r="G69" s="235">
        <v>17</v>
      </c>
      <c r="H69" s="235">
        <v>19</v>
      </c>
      <c r="I69" s="235">
        <v>17</v>
      </c>
      <c r="J69" s="235">
        <v>25</v>
      </c>
      <c r="K69" s="235">
        <v>50</v>
      </c>
      <c r="L69" s="236">
        <v>44</v>
      </c>
    </row>
    <row r="70" spans="1:12" ht="13.5" thickBot="1">
      <c r="A70" s="237" t="s">
        <v>301</v>
      </c>
      <c r="B70" s="238">
        <v>73</v>
      </c>
      <c r="C70" s="238">
        <v>73</v>
      </c>
      <c r="D70" s="238">
        <v>75</v>
      </c>
      <c r="E70" s="238">
        <v>89</v>
      </c>
      <c r="F70" s="238">
        <v>80</v>
      </c>
      <c r="G70" s="238">
        <v>100</v>
      </c>
      <c r="H70" s="238">
        <v>102</v>
      </c>
      <c r="I70" s="238">
        <v>75</v>
      </c>
      <c r="J70" s="238">
        <v>89</v>
      </c>
      <c r="K70" s="238">
        <v>128</v>
      </c>
      <c r="L70" s="239">
        <v>146</v>
      </c>
    </row>
    <row r="71" ht="12.75">
      <c r="A71" s="240" t="s">
        <v>302</v>
      </c>
    </row>
    <row r="72" ht="12.75">
      <c r="A72" s="241" t="s">
        <v>303</v>
      </c>
    </row>
    <row r="73" ht="12.75"/>
  </sheetData>
  <printOptions/>
  <pageMargins left="1.13" right="0.75" top="0.71" bottom="0.43" header="0.44" footer="0.7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2:I28"/>
  <sheetViews>
    <sheetView workbookViewId="0" topLeftCell="A27">
      <selection activeCell="F29" sqref="F29"/>
    </sheetView>
  </sheetViews>
  <sheetFormatPr defaultColWidth="11.421875" defaultRowHeight="12.75"/>
  <cols>
    <col min="1" max="1" width="20.8515625" style="3" customWidth="1"/>
    <col min="2" max="2" width="9.7109375" style="3" customWidth="1"/>
    <col min="3" max="3" width="9.8515625" style="3" customWidth="1"/>
    <col min="4" max="4" width="11.140625" style="3" customWidth="1"/>
    <col min="5" max="16384" width="9.140625" style="3" customWidth="1"/>
  </cols>
  <sheetData>
    <row r="1" ht="6.75" customHeight="1" thickBot="1"/>
    <row r="2" spans="1:9" s="50" customFormat="1" ht="37.5" customHeight="1">
      <c r="A2" s="27" t="s">
        <v>209</v>
      </c>
      <c r="B2" s="17" t="s">
        <v>122</v>
      </c>
      <c r="C2" s="17" t="s">
        <v>123</v>
      </c>
      <c r="D2" s="18" t="s">
        <v>124</v>
      </c>
      <c r="G2" s="152"/>
      <c r="H2" s="152"/>
      <c r="I2" s="152"/>
    </row>
    <row r="3" spans="1:4" s="50" customFormat="1" ht="15.75" customHeight="1" thickBot="1">
      <c r="A3" s="10" t="s">
        <v>62</v>
      </c>
      <c r="B3" s="11">
        <v>1990</v>
      </c>
      <c r="C3" s="11">
        <v>1990</v>
      </c>
      <c r="D3" s="12">
        <v>1990</v>
      </c>
    </row>
    <row r="4" spans="1:4" ht="12.75">
      <c r="A4" s="72" t="s">
        <v>39</v>
      </c>
      <c r="B4" s="109">
        <v>60.43</v>
      </c>
      <c r="C4" s="109">
        <v>24.2</v>
      </c>
      <c r="D4" s="76">
        <v>44.65</v>
      </c>
    </row>
    <row r="5" spans="1:4" ht="12.75">
      <c r="A5" s="77" t="s">
        <v>40</v>
      </c>
      <c r="B5" s="82">
        <v>79.88</v>
      </c>
      <c r="C5" s="82">
        <v>44.02</v>
      </c>
      <c r="D5" s="81">
        <v>55.01</v>
      </c>
    </row>
    <row r="6" spans="1:4" ht="12.75">
      <c r="A6" s="77" t="s">
        <v>41</v>
      </c>
      <c r="B6" s="82">
        <v>79.45</v>
      </c>
      <c r="C6" s="82">
        <v>41.57</v>
      </c>
      <c r="D6" s="81">
        <v>54.75</v>
      </c>
    </row>
    <row r="7" spans="1:4" ht="12.75">
      <c r="A7" s="77" t="s">
        <v>42</v>
      </c>
      <c r="B7" s="82">
        <v>77.44</v>
      </c>
      <c r="C7" s="82">
        <v>37.02</v>
      </c>
      <c r="D7" s="81">
        <v>48.73</v>
      </c>
    </row>
    <row r="8" spans="1:4" ht="12.75">
      <c r="A8" s="77" t="s">
        <v>43</v>
      </c>
      <c r="B8" s="82">
        <v>80.09</v>
      </c>
      <c r="C8" s="82">
        <v>41.61</v>
      </c>
      <c r="D8" s="81">
        <v>54.5</v>
      </c>
    </row>
    <row r="9" spans="1:4" ht="12.75">
      <c r="A9" s="77" t="s">
        <v>44</v>
      </c>
      <c r="B9" s="82">
        <v>78.61</v>
      </c>
      <c r="C9" s="82">
        <v>42.18</v>
      </c>
      <c r="D9" s="81">
        <v>52.73</v>
      </c>
    </row>
    <row r="10" spans="1:4" ht="12.75">
      <c r="A10" s="77" t="s">
        <v>45</v>
      </c>
      <c r="B10" s="82">
        <v>43.82</v>
      </c>
      <c r="C10" s="82">
        <v>7.92</v>
      </c>
      <c r="D10" s="81">
        <v>38.4</v>
      </c>
    </row>
    <row r="11" spans="1:4" ht="12.75">
      <c r="A11" s="77" t="s">
        <v>46</v>
      </c>
      <c r="B11" s="82">
        <v>63.1</v>
      </c>
      <c r="C11" s="82">
        <v>22.5</v>
      </c>
      <c r="D11" s="81">
        <v>49.27</v>
      </c>
    </row>
    <row r="12" spans="1:4" ht="12.75">
      <c r="A12" s="77" t="s">
        <v>47</v>
      </c>
      <c r="B12" s="82">
        <v>48.28</v>
      </c>
      <c r="C12" s="82">
        <v>11.48</v>
      </c>
      <c r="D12" s="81">
        <v>37.06</v>
      </c>
    </row>
    <row r="13" spans="1:4" ht="12.75">
      <c r="A13" s="77" t="s">
        <v>48</v>
      </c>
      <c r="B13" s="82">
        <v>76.73</v>
      </c>
      <c r="C13" s="82">
        <v>41.62</v>
      </c>
      <c r="D13" s="81">
        <v>49.35</v>
      </c>
    </row>
    <row r="14" spans="1:4" ht="12.75">
      <c r="A14" s="77" t="s">
        <v>49</v>
      </c>
      <c r="B14" s="82">
        <v>80.44</v>
      </c>
      <c r="C14" s="82">
        <v>44.04</v>
      </c>
      <c r="D14" s="81">
        <v>51</v>
      </c>
    </row>
    <row r="15" spans="1:4" ht="12.75">
      <c r="A15" s="77" t="s">
        <v>50</v>
      </c>
      <c r="B15" s="82">
        <v>64.94</v>
      </c>
      <c r="C15" s="82">
        <v>21.89</v>
      </c>
      <c r="D15" s="81">
        <v>48.56</v>
      </c>
    </row>
    <row r="16" spans="1:4" ht="12.75">
      <c r="A16" s="77" t="s">
        <v>51</v>
      </c>
      <c r="B16" s="82">
        <v>64.12</v>
      </c>
      <c r="C16" s="82">
        <v>22.56</v>
      </c>
      <c r="D16" s="81">
        <v>46.57</v>
      </c>
    </row>
    <row r="17" spans="1:4" ht="12.75">
      <c r="A17" s="77" t="s">
        <v>52</v>
      </c>
      <c r="B17" s="82">
        <v>63.54</v>
      </c>
      <c r="C17" s="82">
        <v>20.88</v>
      </c>
      <c r="D17" s="81">
        <v>50.35</v>
      </c>
    </row>
    <row r="18" spans="1:4" ht="12.75">
      <c r="A18" s="77" t="s">
        <v>53</v>
      </c>
      <c r="B18" s="82">
        <v>71.64</v>
      </c>
      <c r="C18" s="82">
        <v>29.7</v>
      </c>
      <c r="D18" s="81">
        <v>52.29</v>
      </c>
    </row>
    <row r="19" spans="1:4" ht="12.75">
      <c r="A19" s="77" t="s">
        <v>54</v>
      </c>
      <c r="B19" s="82">
        <v>55.91</v>
      </c>
      <c r="C19" s="82">
        <v>21.81</v>
      </c>
      <c r="D19" s="81">
        <v>46.22</v>
      </c>
    </row>
    <row r="20" spans="1:4" ht="12.75">
      <c r="A20" s="77" t="s">
        <v>55</v>
      </c>
      <c r="B20" s="82">
        <v>44.76</v>
      </c>
      <c r="C20" s="82">
        <v>14.61</v>
      </c>
      <c r="D20" s="81">
        <v>33.31</v>
      </c>
    </row>
    <row r="21" spans="1:4" ht="12.75">
      <c r="A21" s="77" t="s">
        <v>56</v>
      </c>
      <c r="B21" s="82">
        <v>70.94</v>
      </c>
      <c r="C21" s="82">
        <v>27.7</v>
      </c>
      <c r="D21" s="81">
        <v>45.06</v>
      </c>
    </row>
    <row r="22" spans="1:4" ht="12.75">
      <c r="A22" s="77" t="s">
        <v>57</v>
      </c>
      <c r="B22" s="82">
        <v>60.56</v>
      </c>
      <c r="C22" s="82">
        <v>17.6</v>
      </c>
      <c r="D22" s="81">
        <v>49.63</v>
      </c>
    </row>
    <row r="23" spans="1:4" ht="12.75">
      <c r="A23" s="77" t="s">
        <v>58</v>
      </c>
      <c r="B23" s="82">
        <v>18.78</v>
      </c>
      <c r="C23" s="82">
        <v>2.27</v>
      </c>
      <c r="D23" s="81">
        <v>31.75</v>
      </c>
    </row>
    <row r="24" spans="1:4" ht="12.75">
      <c r="A24" s="77" t="s">
        <v>60</v>
      </c>
      <c r="B24" s="82">
        <v>66.49</v>
      </c>
      <c r="C24" s="82">
        <v>20.51</v>
      </c>
      <c r="D24" s="81">
        <v>52.78</v>
      </c>
    </row>
    <row r="25" spans="1:4" ht="13.5" thickBot="1">
      <c r="A25" s="93" t="s">
        <v>61</v>
      </c>
      <c r="B25" s="111">
        <v>71.46</v>
      </c>
      <c r="C25" s="111">
        <v>25.33</v>
      </c>
      <c r="D25" s="161">
        <v>55.44</v>
      </c>
    </row>
    <row r="26" spans="1:4" ht="12.75">
      <c r="A26" s="123"/>
      <c r="B26" s="180"/>
      <c r="C26" s="180"/>
      <c r="D26" s="180"/>
    </row>
    <row r="27" spans="1:4" ht="12.75">
      <c r="A27" s="207" t="s">
        <v>208</v>
      </c>
      <c r="B27" s="180"/>
      <c r="C27" s="180"/>
      <c r="D27" s="180"/>
    </row>
    <row r="28" spans="1:4" s="188" customFormat="1" ht="11.25">
      <c r="A28" s="209" t="s">
        <v>210</v>
      </c>
      <c r="B28" s="210"/>
      <c r="C28" s="210"/>
      <c r="D28" s="210"/>
    </row>
  </sheetData>
  <printOptions/>
  <pageMargins left="0.75" right="0.75" top="1" bottom="1" header="0.5" footer="0.5"/>
  <pageSetup horizontalDpi="360" verticalDpi="36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X26"/>
  <sheetViews>
    <sheetView workbookViewId="0" topLeftCell="A15">
      <selection activeCell="A26" sqref="A1:Q26"/>
    </sheetView>
  </sheetViews>
  <sheetFormatPr defaultColWidth="11.421875" defaultRowHeight="12.75"/>
  <cols>
    <col min="1" max="1" width="21.28125" style="3" customWidth="1"/>
    <col min="2" max="3" width="7.28125" style="3" customWidth="1"/>
    <col min="4" max="4" width="8.57421875" style="3" customWidth="1"/>
    <col min="5" max="5" width="6.8515625" style="3" customWidth="1"/>
    <col min="6" max="6" width="6.57421875" style="3" customWidth="1"/>
    <col min="7" max="7" width="8.8515625" style="3" customWidth="1"/>
    <col min="8" max="10" width="8.57421875" style="3" customWidth="1"/>
    <col min="11" max="11" width="7.7109375" style="3" customWidth="1"/>
    <col min="12" max="12" width="7.421875" style="3" customWidth="1"/>
    <col min="13" max="13" width="8.57421875" style="3" customWidth="1"/>
    <col min="14" max="14" width="8.28125" style="3" customWidth="1"/>
    <col min="15" max="15" width="8.7109375" style="3" customWidth="1"/>
    <col min="16" max="16" width="7.7109375" style="3" customWidth="1"/>
    <col min="17" max="17" width="7.57421875" style="3" customWidth="1"/>
    <col min="18" max="19" width="7.421875" style="3" customWidth="1"/>
    <col min="20" max="24" width="9.140625" style="3" customWidth="1"/>
    <col min="25" max="16384" width="11.421875" style="3" customWidth="1"/>
  </cols>
  <sheetData>
    <row r="1" ht="6" customHeight="1" thickBot="1"/>
    <row r="2" spans="1:24" s="50" customFormat="1" ht="51">
      <c r="A2" s="27" t="s">
        <v>212</v>
      </c>
      <c r="B2" s="274" t="s">
        <v>107</v>
      </c>
      <c r="C2" s="274"/>
      <c r="D2" s="274"/>
      <c r="E2" s="274" t="s">
        <v>108</v>
      </c>
      <c r="F2" s="274"/>
      <c r="G2" s="274"/>
      <c r="H2" s="274" t="s">
        <v>109</v>
      </c>
      <c r="I2" s="274"/>
      <c r="J2" s="274"/>
      <c r="K2" s="274" t="s">
        <v>110</v>
      </c>
      <c r="L2" s="274"/>
      <c r="M2" s="274"/>
      <c r="N2" s="274" t="s">
        <v>111</v>
      </c>
      <c r="O2" s="275"/>
      <c r="R2" s="152"/>
      <c r="S2" s="152"/>
      <c r="T2" s="152"/>
      <c r="U2" s="152"/>
      <c r="V2" s="152"/>
      <c r="W2" s="152"/>
      <c r="X2" s="152"/>
    </row>
    <row r="3" spans="1:24" s="50" customFormat="1" ht="15.75" customHeight="1" thickBot="1">
      <c r="A3" s="10" t="s">
        <v>62</v>
      </c>
      <c r="B3" s="11">
        <v>1990</v>
      </c>
      <c r="C3" s="11">
        <v>1996</v>
      </c>
      <c r="D3" s="11" t="s">
        <v>0</v>
      </c>
      <c r="E3" s="11">
        <v>1990</v>
      </c>
      <c r="F3" s="11">
        <v>1996</v>
      </c>
      <c r="G3" s="11" t="s">
        <v>0</v>
      </c>
      <c r="H3" s="11">
        <v>1990</v>
      </c>
      <c r="I3" s="11">
        <v>1996</v>
      </c>
      <c r="J3" s="11" t="s">
        <v>0</v>
      </c>
      <c r="K3" s="11">
        <v>1990</v>
      </c>
      <c r="L3" s="11">
        <v>1996</v>
      </c>
      <c r="M3" s="11" t="s">
        <v>0</v>
      </c>
      <c r="N3" s="11">
        <v>1990</v>
      </c>
      <c r="O3" s="12">
        <v>1996</v>
      </c>
      <c r="R3" s="152"/>
      <c r="S3" s="152"/>
      <c r="W3" s="152"/>
      <c r="X3" s="152"/>
    </row>
    <row r="4" spans="1:15" ht="12.75">
      <c r="A4" s="72" t="s">
        <v>39</v>
      </c>
      <c r="B4" s="143">
        <v>49</v>
      </c>
      <c r="C4" s="143">
        <v>35</v>
      </c>
      <c r="D4" s="143">
        <v>33.6</v>
      </c>
      <c r="E4" s="143">
        <v>47.28</v>
      </c>
      <c r="F4" s="143">
        <v>47</v>
      </c>
      <c r="G4" s="143">
        <v>35</v>
      </c>
      <c r="H4" s="143">
        <v>70.74</v>
      </c>
      <c r="I4" s="143">
        <v>63</v>
      </c>
      <c r="J4" s="143">
        <v>66.1</v>
      </c>
      <c r="K4" s="143">
        <v>31.69</v>
      </c>
      <c r="L4" s="143">
        <v>36</v>
      </c>
      <c r="M4" s="143">
        <v>44.5</v>
      </c>
      <c r="N4" s="143">
        <v>80.6</v>
      </c>
      <c r="O4" s="153">
        <v>302.9</v>
      </c>
    </row>
    <row r="5" spans="1:15" ht="12.75">
      <c r="A5" s="77" t="s">
        <v>40</v>
      </c>
      <c r="B5" s="145">
        <v>10.64</v>
      </c>
      <c r="C5" s="145">
        <v>11</v>
      </c>
      <c r="D5" s="145">
        <v>7</v>
      </c>
      <c r="E5" s="145">
        <v>9.07</v>
      </c>
      <c r="F5" s="145">
        <v>14</v>
      </c>
      <c r="G5" s="145">
        <v>6.9</v>
      </c>
      <c r="H5" s="145">
        <v>26.9</v>
      </c>
      <c r="I5" s="145">
        <v>23</v>
      </c>
      <c r="J5" s="145">
        <v>21.9</v>
      </c>
      <c r="K5" s="145">
        <v>59.6</v>
      </c>
      <c r="L5" s="145">
        <v>51</v>
      </c>
      <c r="M5" s="145">
        <v>65.2</v>
      </c>
      <c r="N5" s="145">
        <v>128.4</v>
      </c>
      <c r="O5" s="155">
        <v>270.7</v>
      </c>
    </row>
    <row r="6" spans="1:15" ht="12.75">
      <c r="A6" s="77" t="s">
        <v>41</v>
      </c>
      <c r="B6" s="145">
        <v>13.12</v>
      </c>
      <c r="C6" s="145">
        <v>21</v>
      </c>
      <c r="D6" s="145">
        <v>18.4</v>
      </c>
      <c r="E6" s="145">
        <v>15.3</v>
      </c>
      <c r="F6" s="145">
        <v>29</v>
      </c>
      <c r="G6" s="145">
        <v>19.4</v>
      </c>
      <c r="H6" s="145">
        <v>47</v>
      </c>
      <c r="I6" s="145">
        <v>42</v>
      </c>
      <c r="J6" s="145">
        <v>43.9</v>
      </c>
      <c r="K6" s="145">
        <v>68.12</v>
      </c>
      <c r="L6" s="145">
        <v>47</v>
      </c>
      <c r="M6" s="145">
        <v>54.7</v>
      </c>
      <c r="N6" s="145">
        <v>317.9</v>
      </c>
      <c r="O6" s="155">
        <v>361</v>
      </c>
    </row>
    <row r="7" spans="1:15" ht="12.75">
      <c r="A7" s="77" t="s">
        <v>42</v>
      </c>
      <c r="B7" s="145">
        <v>11.81</v>
      </c>
      <c r="C7" s="145">
        <v>21</v>
      </c>
      <c r="D7" s="145">
        <v>13.2</v>
      </c>
      <c r="E7" s="145">
        <v>10.84</v>
      </c>
      <c r="F7" s="145">
        <v>24</v>
      </c>
      <c r="G7" s="145">
        <v>12.7</v>
      </c>
      <c r="H7" s="145">
        <v>42.33</v>
      </c>
      <c r="I7" s="145">
        <v>38</v>
      </c>
      <c r="J7" s="145">
        <v>36.3</v>
      </c>
      <c r="K7" s="145">
        <v>66.4</v>
      </c>
      <c r="L7" s="145">
        <v>42</v>
      </c>
      <c r="M7" s="145">
        <v>60.3</v>
      </c>
      <c r="N7" s="145">
        <v>238.5</v>
      </c>
      <c r="O7" s="155">
        <v>209.1</v>
      </c>
    </row>
    <row r="8" spans="1:15" ht="12.75">
      <c r="A8" s="77" t="s">
        <v>43</v>
      </c>
      <c r="B8" s="145">
        <v>39.37</v>
      </c>
      <c r="C8" s="145">
        <v>21</v>
      </c>
      <c r="D8" s="145">
        <v>26.6</v>
      </c>
      <c r="E8" s="145">
        <v>34.24</v>
      </c>
      <c r="F8" s="145">
        <v>25</v>
      </c>
      <c r="G8" s="145">
        <v>25.7</v>
      </c>
      <c r="H8" s="145">
        <v>80.66</v>
      </c>
      <c r="I8" s="145">
        <v>40</v>
      </c>
      <c r="J8" s="145">
        <v>53.4</v>
      </c>
      <c r="K8" s="145">
        <v>35.06</v>
      </c>
      <c r="L8" s="145">
        <v>40</v>
      </c>
      <c r="M8" s="145">
        <v>44.9</v>
      </c>
      <c r="N8" s="145">
        <v>78.9</v>
      </c>
      <c r="O8" s="155">
        <v>240.1</v>
      </c>
    </row>
    <row r="9" spans="1:15" ht="12.75">
      <c r="A9" s="77" t="s">
        <v>44</v>
      </c>
      <c r="B9" s="145">
        <v>32.9</v>
      </c>
      <c r="C9" s="145">
        <v>27</v>
      </c>
      <c r="D9" s="145">
        <v>20.7</v>
      </c>
      <c r="E9" s="145">
        <v>30.53</v>
      </c>
      <c r="F9" s="145">
        <v>36</v>
      </c>
      <c r="G9" s="145">
        <v>20.8</v>
      </c>
      <c r="H9" s="145">
        <v>65.99</v>
      </c>
      <c r="I9" s="145">
        <v>44</v>
      </c>
      <c r="J9" s="145">
        <v>43.8</v>
      </c>
      <c r="K9" s="145">
        <v>39.46</v>
      </c>
      <c r="L9" s="145">
        <v>32</v>
      </c>
      <c r="M9" s="145">
        <v>47.6</v>
      </c>
      <c r="N9" s="145">
        <v>115.9</v>
      </c>
      <c r="O9" s="155">
        <v>164.5</v>
      </c>
    </row>
    <row r="10" spans="1:15" ht="12.75">
      <c r="A10" s="77" t="s">
        <v>45</v>
      </c>
      <c r="B10" s="145">
        <v>34.04</v>
      </c>
      <c r="C10" s="145">
        <v>17</v>
      </c>
      <c r="D10" s="145">
        <v>22.5</v>
      </c>
      <c r="E10" s="145">
        <v>35.86</v>
      </c>
      <c r="F10" s="145">
        <v>21</v>
      </c>
      <c r="G10" s="145">
        <v>22.7</v>
      </c>
      <c r="H10" s="145">
        <v>57.99</v>
      </c>
      <c r="I10" s="145">
        <v>46</v>
      </c>
      <c r="J10" s="145">
        <v>45.1</v>
      </c>
      <c r="K10" s="145">
        <v>24.1</v>
      </c>
      <c r="L10" s="145">
        <v>46</v>
      </c>
      <c r="M10" s="145">
        <v>39.1</v>
      </c>
      <c r="N10" s="145">
        <v>77.8</v>
      </c>
      <c r="O10" s="155">
        <v>386.7</v>
      </c>
    </row>
    <row r="11" spans="1:15" ht="12.75">
      <c r="A11" s="77" t="s">
        <v>46</v>
      </c>
      <c r="B11" s="145">
        <v>51.88</v>
      </c>
      <c r="C11" s="145">
        <v>13</v>
      </c>
      <c r="D11" s="145">
        <v>23.6</v>
      </c>
      <c r="E11" s="145">
        <v>50.32</v>
      </c>
      <c r="F11" s="145">
        <v>14</v>
      </c>
      <c r="G11" s="145">
        <v>23.7</v>
      </c>
      <c r="H11" s="145">
        <v>87.69</v>
      </c>
      <c r="I11" s="145">
        <v>24</v>
      </c>
      <c r="J11" s="145">
        <v>47.6</v>
      </c>
      <c r="K11" s="145">
        <v>31.75</v>
      </c>
      <c r="L11" s="145">
        <v>36</v>
      </c>
      <c r="M11" s="145">
        <v>38</v>
      </c>
      <c r="N11" s="145">
        <v>48.4</v>
      </c>
      <c r="O11" s="155">
        <v>143</v>
      </c>
    </row>
    <row r="12" spans="1:15" ht="12.75">
      <c r="A12" s="77" t="s">
        <v>47</v>
      </c>
      <c r="B12" s="145">
        <v>50.78</v>
      </c>
      <c r="C12" s="145">
        <v>65</v>
      </c>
      <c r="D12" s="145">
        <v>62</v>
      </c>
      <c r="E12" s="145">
        <v>50.06</v>
      </c>
      <c r="F12" s="145">
        <v>68</v>
      </c>
      <c r="G12" s="145">
        <v>53.5</v>
      </c>
      <c r="H12" s="145">
        <v>71.26</v>
      </c>
      <c r="I12" s="145">
        <v>112</v>
      </c>
      <c r="J12" s="145">
        <v>106.5</v>
      </c>
      <c r="K12" s="145">
        <v>20.41</v>
      </c>
      <c r="L12" s="145">
        <v>39</v>
      </c>
      <c r="M12" s="145">
        <v>35.4</v>
      </c>
      <c r="N12" s="145">
        <v>57.3</v>
      </c>
      <c r="O12" s="155">
        <v>228.5</v>
      </c>
    </row>
    <row r="13" spans="1:15" ht="12.75">
      <c r="A13" s="77" t="s">
        <v>48</v>
      </c>
      <c r="B13" s="145">
        <v>34.07</v>
      </c>
      <c r="C13" s="145">
        <v>25</v>
      </c>
      <c r="D13" s="145">
        <v>28.1</v>
      </c>
      <c r="E13" s="145">
        <v>31.01</v>
      </c>
      <c r="F13" s="145">
        <v>26</v>
      </c>
      <c r="G13" s="145">
        <v>28.1</v>
      </c>
      <c r="H13" s="145">
        <v>64.14</v>
      </c>
      <c r="I13" s="145">
        <v>43</v>
      </c>
      <c r="J13" s="145">
        <v>53.7</v>
      </c>
      <c r="K13" s="145">
        <v>36.81</v>
      </c>
      <c r="L13" s="145">
        <v>38</v>
      </c>
      <c r="M13" s="145">
        <v>44.2</v>
      </c>
      <c r="N13" s="145">
        <v>89.6</v>
      </c>
      <c r="O13" s="155">
        <v>158.7</v>
      </c>
    </row>
    <row r="14" spans="1:15" ht="12.75">
      <c r="A14" s="77" t="s">
        <v>49</v>
      </c>
      <c r="B14" s="145">
        <v>11.39</v>
      </c>
      <c r="C14" s="145">
        <v>38</v>
      </c>
      <c r="D14" s="145">
        <v>13.5</v>
      </c>
      <c r="E14" s="145">
        <v>10.67</v>
      </c>
      <c r="F14" s="145">
        <v>36</v>
      </c>
      <c r="G14" s="145">
        <v>13.8</v>
      </c>
      <c r="H14" s="145">
        <v>32.12</v>
      </c>
      <c r="I14" s="145">
        <v>47</v>
      </c>
      <c r="J14" s="145">
        <v>30.9</v>
      </c>
      <c r="K14" s="145">
        <v>60.22</v>
      </c>
      <c r="L14" s="145">
        <v>16</v>
      </c>
      <c r="M14" s="145">
        <v>51.1</v>
      </c>
      <c r="N14" s="145">
        <v>220.1</v>
      </c>
      <c r="O14" s="155">
        <v>50.5</v>
      </c>
    </row>
    <row r="15" spans="1:15" ht="12.75">
      <c r="A15" s="77" t="s">
        <v>50</v>
      </c>
      <c r="B15" s="145">
        <v>10.1</v>
      </c>
      <c r="C15" s="145">
        <v>13</v>
      </c>
      <c r="D15" s="145">
        <v>12.7</v>
      </c>
      <c r="E15" s="145">
        <v>9.46</v>
      </c>
      <c r="F15" s="145">
        <v>25</v>
      </c>
      <c r="G15" s="145">
        <v>13.9</v>
      </c>
      <c r="H15" s="145">
        <v>15.41</v>
      </c>
      <c r="I15" s="145">
        <v>25</v>
      </c>
      <c r="J15" s="145">
        <v>26.8</v>
      </c>
      <c r="K15" s="145">
        <v>18.27</v>
      </c>
      <c r="L15" s="145">
        <v>40</v>
      </c>
      <c r="M15" s="145">
        <v>42.1</v>
      </c>
      <c r="N15" s="145">
        <v>46.9</v>
      </c>
      <c r="O15" s="155">
        <v>218.5</v>
      </c>
    </row>
    <row r="16" spans="1:15" ht="12.75">
      <c r="A16" s="77" t="s">
        <v>51</v>
      </c>
      <c r="B16" s="145">
        <v>17.87</v>
      </c>
      <c r="C16" s="145">
        <v>21</v>
      </c>
      <c r="D16" s="145">
        <v>15.1</v>
      </c>
      <c r="E16" s="145">
        <v>18.94</v>
      </c>
      <c r="F16" s="145">
        <v>21</v>
      </c>
      <c r="G16" s="145">
        <v>15.5</v>
      </c>
      <c r="H16" s="145">
        <v>34.91</v>
      </c>
      <c r="I16" s="145">
        <v>39</v>
      </c>
      <c r="J16" s="145">
        <v>31.5</v>
      </c>
      <c r="K16" s="145">
        <v>41.71</v>
      </c>
      <c r="L16" s="145">
        <v>45</v>
      </c>
      <c r="M16" s="145">
        <v>46.4</v>
      </c>
      <c r="N16" s="145">
        <v>92.7</v>
      </c>
      <c r="O16" s="155">
        <v>139.2</v>
      </c>
    </row>
    <row r="17" spans="1:15" ht="12.75">
      <c r="A17" s="77" t="s">
        <v>52</v>
      </c>
      <c r="B17" s="145">
        <v>13.46</v>
      </c>
      <c r="C17" s="145">
        <v>5</v>
      </c>
      <c r="D17" s="145">
        <v>10.5</v>
      </c>
      <c r="E17" s="145">
        <v>12.85</v>
      </c>
      <c r="F17" s="145">
        <v>13</v>
      </c>
      <c r="G17" s="145">
        <v>10.6</v>
      </c>
      <c r="H17" s="145">
        <v>54.41</v>
      </c>
      <c r="I17" s="145">
        <v>8</v>
      </c>
      <c r="J17" s="145">
        <v>28</v>
      </c>
      <c r="K17" s="145">
        <v>72.48</v>
      </c>
      <c r="L17" s="145">
        <v>35</v>
      </c>
      <c r="M17" s="145">
        <v>60.8</v>
      </c>
      <c r="N17" s="145">
        <v>260.8</v>
      </c>
      <c r="O17" s="155">
        <v>417.6</v>
      </c>
    </row>
    <row r="18" spans="1:15" ht="12.75">
      <c r="A18" s="77" t="s">
        <v>53</v>
      </c>
      <c r="B18" s="145">
        <v>13.73</v>
      </c>
      <c r="C18" s="145">
        <v>10</v>
      </c>
      <c r="D18" s="145">
        <v>12.14</v>
      </c>
      <c r="E18" s="145">
        <v>12.08</v>
      </c>
      <c r="F18" s="145">
        <v>13</v>
      </c>
      <c r="G18" s="145">
        <v>12.31</v>
      </c>
      <c r="H18" s="145">
        <v>26.67</v>
      </c>
      <c r="I18" s="145">
        <v>29</v>
      </c>
      <c r="J18" s="145">
        <v>28.59</v>
      </c>
      <c r="K18" s="145">
        <v>40.37</v>
      </c>
      <c r="L18" s="145">
        <v>62</v>
      </c>
      <c r="M18" s="145">
        <v>54.89</v>
      </c>
      <c r="N18" s="145">
        <v>214.2</v>
      </c>
      <c r="O18" s="155">
        <v>570.2</v>
      </c>
    </row>
    <row r="19" spans="1:15" ht="12.75">
      <c r="A19" s="77" t="s">
        <v>54</v>
      </c>
      <c r="B19" s="145">
        <v>14.48</v>
      </c>
      <c r="C19" s="145">
        <v>12</v>
      </c>
      <c r="D19" s="145">
        <v>10.7</v>
      </c>
      <c r="E19" s="145">
        <v>14.65</v>
      </c>
      <c r="F19" s="145">
        <v>16</v>
      </c>
      <c r="G19" s="145">
        <v>11.1</v>
      </c>
      <c r="H19" s="145">
        <v>40.21</v>
      </c>
      <c r="I19" s="145">
        <v>29</v>
      </c>
      <c r="J19" s="145">
        <v>29.5</v>
      </c>
      <c r="K19" s="145">
        <v>58.02</v>
      </c>
      <c r="L19" s="145">
        <v>56</v>
      </c>
      <c r="M19" s="145">
        <v>61.3</v>
      </c>
      <c r="N19" s="145">
        <v>338.3</v>
      </c>
      <c r="O19" s="155">
        <v>519.3</v>
      </c>
    </row>
    <row r="20" spans="1:15" ht="12.75">
      <c r="A20" s="77" t="s">
        <v>55</v>
      </c>
      <c r="B20" s="145">
        <v>55.15</v>
      </c>
      <c r="C20" s="145">
        <v>44</v>
      </c>
      <c r="D20" s="145">
        <v>44.9</v>
      </c>
      <c r="E20" s="145">
        <v>52.3</v>
      </c>
      <c r="F20" s="145">
        <v>47</v>
      </c>
      <c r="G20" s="145">
        <v>45.5</v>
      </c>
      <c r="H20" s="145">
        <v>106.59</v>
      </c>
      <c r="I20" s="145">
        <v>112</v>
      </c>
      <c r="J20" s="145">
        <v>93.8</v>
      </c>
      <c r="K20" s="145">
        <v>39.11</v>
      </c>
      <c r="L20" s="145">
        <v>47</v>
      </c>
      <c r="M20" s="145">
        <v>42</v>
      </c>
      <c r="N20" s="145">
        <v>199.8</v>
      </c>
      <c r="O20" s="155">
        <v>332.5</v>
      </c>
    </row>
    <row r="21" spans="1:15" ht="12.75">
      <c r="A21" s="77" t="s">
        <v>56</v>
      </c>
      <c r="B21" s="145">
        <v>38.53</v>
      </c>
      <c r="C21" s="145">
        <v>30</v>
      </c>
      <c r="D21" s="145">
        <v>31.9</v>
      </c>
      <c r="E21" s="145">
        <v>36.41</v>
      </c>
      <c r="F21" s="145">
        <v>39</v>
      </c>
      <c r="G21" s="145">
        <v>31.8</v>
      </c>
      <c r="H21" s="145">
        <v>68.21</v>
      </c>
      <c r="I21" s="145">
        <v>51</v>
      </c>
      <c r="J21" s="145">
        <v>62.2</v>
      </c>
      <c r="K21" s="145">
        <v>30.87</v>
      </c>
      <c r="L21" s="145">
        <v>35</v>
      </c>
      <c r="M21" s="145">
        <v>39.8</v>
      </c>
      <c r="N21" s="145">
        <v>71.7</v>
      </c>
      <c r="O21" s="155">
        <v>189.5</v>
      </c>
    </row>
    <row r="22" spans="1:15" ht="12.75">
      <c r="A22" s="77" t="s">
        <v>57</v>
      </c>
      <c r="B22" s="145">
        <v>11.66</v>
      </c>
      <c r="C22" s="145">
        <v>19</v>
      </c>
      <c r="D22" s="145">
        <v>9.9</v>
      </c>
      <c r="E22" s="145">
        <v>10.17</v>
      </c>
      <c r="F22" s="145">
        <v>20</v>
      </c>
      <c r="G22" s="145">
        <v>8.8</v>
      </c>
      <c r="H22" s="145">
        <v>30.37</v>
      </c>
      <c r="I22" s="145">
        <v>36</v>
      </c>
      <c r="J22" s="145">
        <v>22.5</v>
      </c>
      <c r="K22" s="145">
        <v>58.8</v>
      </c>
      <c r="L22" s="145">
        <v>43</v>
      </c>
      <c r="M22" s="145">
        <v>50.5</v>
      </c>
      <c r="N22" s="145">
        <v>223</v>
      </c>
      <c r="O22" s="155">
        <v>281.3</v>
      </c>
    </row>
    <row r="23" spans="1:17" ht="13.5" thickBot="1">
      <c r="A23" s="93" t="s">
        <v>58</v>
      </c>
      <c r="B23" s="156">
        <v>6.97</v>
      </c>
      <c r="C23" s="156">
        <v>11</v>
      </c>
      <c r="D23" s="156">
        <v>25.9</v>
      </c>
      <c r="E23" s="156">
        <v>7.27</v>
      </c>
      <c r="F23" s="156">
        <v>12</v>
      </c>
      <c r="G23" s="156">
        <v>26.9</v>
      </c>
      <c r="H23" s="156">
        <v>21.34</v>
      </c>
      <c r="I23" s="156">
        <v>29</v>
      </c>
      <c r="J23" s="156">
        <v>57.4</v>
      </c>
      <c r="K23" s="156">
        <v>67.28</v>
      </c>
      <c r="L23" s="156">
        <v>61</v>
      </c>
      <c r="M23" s="156">
        <v>52.8</v>
      </c>
      <c r="N23" s="156">
        <v>2516</v>
      </c>
      <c r="O23" s="157">
        <v>1771</v>
      </c>
      <c r="Q23" s="3">
        <f>1017/2927</f>
        <v>0.34745473180731123</v>
      </c>
    </row>
    <row r="25" spans="1:4" ht="12.75">
      <c r="A25" s="207" t="s">
        <v>208</v>
      </c>
      <c r="B25" s="180"/>
      <c r="C25" s="180"/>
      <c r="D25" s="180"/>
    </row>
    <row r="26" spans="1:4" s="188" customFormat="1" ht="11.25">
      <c r="A26" s="209" t="s">
        <v>210</v>
      </c>
      <c r="B26" s="210"/>
      <c r="C26" s="210"/>
      <c r="D26" s="210"/>
    </row>
  </sheetData>
  <mergeCells count="5">
    <mergeCell ref="N2:O2"/>
    <mergeCell ref="B2:D2"/>
    <mergeCell ref="E2:G2"/>
    <mergeCell ref="H2:J2"/>
    <mergeCell ref="K2:M2"/>
  </mergeCells>
  <printOptions/>
  <pageMargins left="0.75" right="0.75" top="1.16" bottom="1" header="0" footer="0"/>
  <pageSetup fitToHeight="1" fitToWidth="1" horizontalDpi="1200" verticalDpi="1200" orientation="landscape" paperSize="9" scale="92"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V27"/>
  <sheetViews>
    <sheetView zoomScale="90" zoomScaleNormal="90" workbookViewId="0" topLeftCell="J1">
      <selection activeCell="Q1" sqref="A1:S27"/>
    </sheetView>
  </sheetViews>
  <sheetFormatPr defaultColWidth="11.421875" defaultRowHeight="12.75"/>
  <cols>
    <col min="1" max="1" width="22.140625" style="3" customWidth="1"/>
    <col min="2" max="3" width="10.00390625" style="3" customWidth="1"/>
    <col min="4" max="4" width="9.8515625" style="3" customWidth="1"/>
    <col min="5" max="6" width="9.140625" style="3" customWidth="1"/>
    <col min="7" max="8" width="8.00390625" style="3" customWidth="1"/>
    <col min="9" max="9" width="7.7109375" style="3" customWidth="1"/>
    <col min="10" max="10" width="8.421875" style="3" customWidth="1"/>
    <col min="11" max="11" width="7.7109375" style="3" customWidth="1"/>
    <col min="12" max="12" width="8.00390625" style="3" customWidth="1"/>
    <col min="13" max="13" width="7.57421875" style="3" customWidth="1"/>
    <col min="14" max="14" width="7.7109375" style="3" customWidth="1"/>
    <col min="15" max="15" width="8.00390625" style="3" customWidth="1"/>
    <col min="16" max="16" width="7.57421875" style="3" customWidth="1"/>
    <col min="17" max="17" width="7.7109375" style="3" customWidth="1"/>
    <col min="18" max="18" width="8.00390625" style="3" customWidth="1"/>
    <col min="19" max="22" width="7.57421875" style="3" customWidth="1"/>
    <col min="23" max="24" width="11.421875" style="3" customWidth="1"/>
    <col min="25" max="25" width="11.57421875" style="3" customWidth="1"/>
    <col min="26" max="16384" width="11.421875" style="3" customWidth="1"/>
  </cols>
  <sheetData>
    <row r="1" spans="2:19" ht="6" customHeight="1" thickBot="1">
      <c r="B1" s="277"/>
      <c r="C1" s="277"/>
      <c r="D1" s="277"/>
      <c r="E1" s="277"/>
      <c r="F1" s="277"/>
      <c r="G1" s="277"/>
      <c r="H1" s="277"/>
      <c r="I1" s="277"/>
      <c r="J1" s="277"/>
      <c r="K1" s="277"/>
      <c r="L1" s="278"/>
      <c r="M1" s="278"/>
      <c r="N1" s="277"/>
      <c r="O1" s="278"/>
      <c r="P1" s="278"/>
      <c r="Q1" s="277"/>
      <c r="R1" s="278"/>
      <c r="S1" s="278"/>
    </row>
    <row r="2" spans="1:22" s="163" customFormat="1" ht="57" customHeight="1">
      <c r="A2" s="27" t="s">
        <v>213</v>
      </c>
      <c r="B2" s="269" t="s">
        <v>130</v>
      </c>
      <c r="C2" s="269"/>
      <c r="D2" s="269"/>
      <c r="E2" s="269" t="s">
        <v>131</v>
      </c>
      <c r="F2" s="269"/>
      <c r="G2" s="269"/>
      <c r="H2" s="269" t="s">
        <v>132</v>
      </c>
      <c r="I2" s="269"/>
      <c r="J2" s="269"/>
      <c r="K2" s="269" t="s">
        <v>112</v>
      </c>
      <c r="L2" s="276"/>
      <c r="M2" s="276"/>
      <c r="N2" s="269" t="s">
        <v>125</v>
      </c>
      <c r="O2" s="276"/>
      <c r="P2" s="276"/>
      <c r="Q2" s="269" t="s">
        <v>133</v>
      </c>
      <c r="R2" s="276"/>
      <c r="S2" s="279"/>
      <c r="T2" s="162"/>
      <c r="U2" s="162"/>
      <c r="V2" s="162"/>
    </row>
    <row r="3" spans="1:19" s="50" customFormat="1" ht="17.25" customHeight="1" thickBot="1">
      <c r="A3" s="19" t="s">
        <v>62</v>
      </c>
      <c r="B3" s="13">
        <v>1974</v>
      </c>
      <c r="C3" s="13">
        <v>1982</v>
      </c>
      <c r="D3" s="13">
        <v>1990</v>
      </c>
      <c r="E3" s="13">
        <v>1974</v>
      </c>
      <c r="F3" s="13">
        <v>1982</v>
      </c>
      <c r="G3" s="13">
        <v>1990</v>
      </c>
      <c r="H3" s="13">
        <v>1974</v>
      </c>
      <c r="I3" s="13">
        <v>1982</v>
      </c>
      <c r="J3" s="13">
        <v>1990</v>
      </c>
      <c r="K3" s="13">
        <v>1974</v>
      </c>
      <c r="L3" s="13">
        <v>1982</v>
      </c>
      <c r="M3" s="13">
        <v>1990</v>
      </c>
      <c r="N3" s="13">
        <v>1974</v>
      </c>
      <c r="O3" s="13">
        <v>1982</v>
      </c>
      <c r="P3" s="13">
        <v>1990</v>
      </c>
      <c r="Q3" s="13">
        <v>1974</v>
      </c>
      <c r="R3" s="13">
        <v>1982</v>
      </c>
      <c r="S3" s="20">
        <v>1990</v>
      </c>
    </row>
    <row r="4" spans="1:19" ht="14.25" customHeight="1">
      <c r="A4" s="72" t="s">
        <v>39</v>
      </c>
      <c r="B4" s="126">
        <v>115913</v>
      </c>
      <c r="C4" s="126">
        <v>137902</v>
      </c>
      <c r="D4" s="126">
        <v>210075</v>
      </c>
      <c r="E4" s="109">
        <v>31.556064945388812</v>
      </c>
      <c r="F4" s="109">
        <v>31.19820641194157</v>
      </c>
      <c r="G4" s="109">
        <v>41.509415321385525</v>
      </c>
      <c r="H4" s="109">
        <v>40.5502402664067</v>
      </c>
      <c r="I4" s="109">
        <v>35.18585662281911</v>
      </c>
      <c r="J4" s="109">
        <v>31.2</v>
      </c>
      <c r="K4" s="109">
        <v>4.642274809555443</v>
      </c>
      <c r="L4" s="109">
        <v>6.909979550695422</v>
      </c>
      <c r="M4" s="109">
        <v>6.991345316740922</v>
      </c>
      <c r="N4" s="109">
        <v>6.368569530596223</v>
      </c>
      <c r="O4" s="109">
        <v>8.116633551362561</v>
      </c>
      <c r="P4" s="109">
        <v>11.360167972550828</v>
      </c>
      <c r="Q4" s="109">
        <v>15.654844581712146</v>
      </c>
      <c r="R4" s="109">
        <v>20.318051949935462</v>
      </c>
      <c r="S4" s="76">
        <v>21.145593281097966</v>
      </c>
    </row>
    <row r="5" spans="1:19" ht="12.75">
      <c r="A5" s="77" t="s">
        <v>40</v>
      </c>
      <c r="B5" s="129">
        <v>39067</v>
      </c>
      <c r="C5" s="129">
        <v>41288</v>
      </c>
      <c r="D5" s="129">
        <v>56477</v>
      </c>
      <c r="E5" s="82">
        <v>27.01859702751862</v>
      </c>
      <c r="F5" s="82">
        <v>28.289333945419294</v>
      </c>
      <c r="G5" s="82">
        <v>34.61682265904174</v>
      </c>
      <c r="H5" s="82">
        <v>75.66232370030971</v>
      </c>
      <c r="I5" s="82">
        <v>69.04911838790933</v>
      </c>
      <c r="J5" s="82">
        <v>65.3</v>
      </c>
      <c r="K5" s="82">
        <v>1.456472214400901</v>
      </c>
      <c r="L5" s="82">
        <v>2.5963960472776595</v>
      </c>
      <c r="M5" s="82">
        <v>2.9336344151867726</v>
      </c>
      <c r="N5" s="82">
        <v>3.414646632707912</v>
      </c>
      <c r="O5" s="82">
        <v>3.2358070141445454</v>
      </c>
      <c r="P5" s="82">
        <v>4.564069197795469</v>
      </c>
      <c r="Q5" s="82">
        <v>9.721760053241866</v>
      </c>
      <c r="R5" s="82">
        <v>15.738229025382678</v>
      </c>
      <c r="S5" s="81">
        <v>16.579914268218005</v>
      </c>
    </row>
    <row r="6" spans="1:19" ht="12.75">
      <c r="A6" s="77" t="s">
        <v>41</v>
      </c>
      <c r="B6" s="129">
        <v>48117</v>
      </c>
      <c r="C6" s="129">
        <v>52027</v>
      </c>
      <c r="D6" s="129">
        <v>73762</v>
      </c>
      <c r="E6" s="82">
        <v>32.828682540765506</v>
      </c>
      <c r="F6" s="82">
        <v>29.81319122113346</v>
      </c>
      <c r="G6" s="82">
        <v>38.955990852772956</v>
      </c>
      <c r="H6" s="82">
        <v>50.92171166115925</v>
      </c>
      <c r="I6" s="82">
        <v>54.28911911123071</v>
      </c>
      <c r="J6" s="82">
        <v>49.3</v>
      </c>
      <c r="K6" s="82">
        <v>3.4000457218862357</v>
      </c>
      <c r="L6" s="82">
        <v>4.62259980394795</v>
      </c>
      <c r="M6" s="82">
        <v>6.114083339612689</v>
      </c>
      <c r="N6" s="82">
        <v>4.210570068790656</v>
      </c>
      <c r="O6" s="82">
        <v>3.9710150498779484</v>
      </c>
      <c r="P6" s="82">
        <v>5.726772662195765</v>
      </c>
      <c r="Q6" s="82">
        <v>8.564540598956711</v>
      </c>
      <c r="R6" s="82">
        <v>14.361773694427892</v>
      </c>
      <c r="S6" s="81">
        <v>15.82849822922161</v>
      </c>
    </row>
    <row r="7" spans="1:19" ht="12.75">
      <c r="A7" s="77" t="s">
        <v>42</v>
      </c>
      <c r="B7" s="129">
        <v>36166</v>
      </c>
      <c r="C7" s="129">
        <v>36665</v>
      </c>
      <c r="D7" s="129">
        <v>51740</v>
      </c>
      <c r="E7" s="82">
        <v>29.924621660309292</v>
      </c>
      <c r="F7" s="82">
        <v>28.694073361037415</v>
      </c>
      <c r="G7" s="82">
        <v>36.57002304180037</v>
      </c>
      <c r="H7" s="82">
        <v>57.86373942376818</v>
      </c>
      <c r="I7" s="82">
        <v>49.59498159007227</v>
      </c>
      <c r="J7" s="82">
        <v>50.4</v>
      </c>
      <c r="K7" s="82">
        <v>3.9927003262732956</v>
      </c>
      <c r="L7" s="82">
        <v>4.5302059184508385</v>
      </c>
      <c r="M7" s="82">
        <v>3.861780276603603</v>
      </c>
      <c r="N7" s="82">
        <v>6.414864790134381</v>
      </c>
      <c r="O7" s="82">
        <v>6.843038319923633</v>
      </c>
      <c r="P7" s="82">
        <v>9.533385316206344</v>
      </c>
      <c r="Q7" s="82">
        <v>14.499806448045124</v>
      </c>
      <c r="R7" s="82">
        <v>21.1782353743352</v>
      </c>
      <c r="S7" s="81">
        <v>19.179628185660935</v>
      </c>
    </row>
    <row r="8" spans="1:19" ht="12.75">
      <c r="A8" s="77" t="s">
        <v>43</v>
      </c>
      <c r="B8" s="129">
        <v>69731</v>
      </c>
      <c r="C8" s="129">
        <v>79588</v>
      </c>
      <c r="D8" s="129">
        <v>107453</v>
      </c>
      <c r="E8" s="82">
        <v>29.507898422854435</v>
      </c>
      <c r="F8" s="82">
        <v>28.661975381557053</v>
      </c>
      <c r="G8" s="82">
        <v>38.88659689350183</v>
      </c>
      <c r="H8" s="82">
        <v>65.74694181927694</v>
      </c>
      <c r="I8" s="82">
        <v>54.61627381012213</v>
      </c>
      <c r="J8" s="82">
        <v>51</v>
      </c>
      <c r="K8" s="82">
        <v>4.150234472472788</v>
      </c>
      <c r="L8" s="82">
        <v>7.638086143639744</v>
      </c>
      <c r="M8" s="82">
        <v>5.9719253167089645</v>
      </c>
      <c r="N8" s="82">
        <v>4.36678091523139</v>
      </c>
      <c r="O8" s="82">
        <v>4.356184349399407</v>
      </c>
      <c r="P8" s="82">
        <v>7.081854656121987</v>
      </c>
      <c r="Q8" s="82">
        <v>10.15043524400912</v>
      </c>
      <c r="R8" s="82">
        <v>15.762426496456753</v>
      </c>
      <c r="S8" s="81">
        <v>19.07625235623045</v>
      </c>
    </row>
    <row r="9" spans="1:19" ht="12.75">
      <c r="A9" s="77" t="s">
        <v>44</v>
      </c>
      <c r="B9" s="129">
        <v>95063</v>
      </c>
      <c r="C9" s="129">
        <v>92956</v>
      </c>
      <c r="D9" s="129">
        <v>144095</v>
      </c>
      <c r="E9" s="82">
        <v>31.238252342959292</v>
      </c>
      <c r="F9" s="82">
        <v>29.32847028534649</v>
      </c>
      <c r="G9" s="82">
        <v>39.758022238777144</v>
      </c>
      <c r="H9" s="82">
        <v>61.76640754026277</v>
      </c>
      <c r="I9" s="82">
        <v>51.04565600929472</v>
      </c>
      <c r="J9" s="82">
        <v>53.9</v>
      </c>
      <c r="K9" s="82">
        <v>2.6087962719459727</v>
      </c>
      <c r="L9" s="82">
        <v>5.148672490210422</v>
      </c>
      <c r="M9" s="82">
        <v>4.290332512315271</v>
      </c>
      <c r="N9" s="82">
        <v>4.643236590471582</v>
      </c>
      <c r="O9" s="82">
        <v>6.0114462756573</v>
      </c>
      <c r="P9" s="82">
        <v>8.422875615763546</v>
      </c>
      <c r="Q9" s="82">
        <v>11.914204264540357</v>
      </c>
      <c r="R9" s="82">
        <v>19.303756616033393</v>
      </c>
      <c r="S9" s="81">
        <v>20.539562807881772</v>
      </c>
    </row>
    <row r="10" spans="1:19" ht="12.75">
      <c r="A10" s="77" t="s">
        <v>45</v>
      </c>
      <c r="B10" s="129">
        <v>78580</v>
      </c>
      <c r="C10" s="129">
        <v>97301</v>
      </c>
      <c r="D10" s="129">
        <v>149423</v>
      </c>
      <c r="E10" s="82">
        <v>29.9279413781021</v>
      </c>
      <c r="F10" s="82">
        <v>29.056176688406314</v>
      </c>
      <c r="G10" s="82">
        <v>36.20400993397541</v>
      </c>
      <c r="H10" s="82">
        <v>51.41257317383558</v>
      </c>
      <c r="I10" s="82">
        <v>36.28020267006505</v>
      </c>
      <c r="J10" s="82">
        <v>30.8</v>
      </c>
      <c r="K10" s="82">
        <v>2.8735047085772463</v>
      </c>
      <c r="L10" s="82">
        <v>5.526150810371939</v>
      </c>
      <c r="M10" s="82">
        <v>5.75326134619601</v>
      </c>
      <c r="N10" s="82">
        <v>14.001018070755917</v>
      </c>
      <c r="O10" s="82">
        <v>14.105713199247697</v>
      </c>
      <c r="P10" s="82">
        <v>17.14125191843894</v>
      </c>
      <c r="Q10" s="82">
        <v>15.811911427844235</v>
      </c>
      <c r="R10" s="82">
        <v>25.95554002528237</v>
      </c>
      <c r="S10" s="81">
        <v>19.45845209383907</v>
      </c>
    </row>
    <row r="11" spans="1:19" ht="12.75">
      <c r="A11" s="77" t="s">
        <v>46</v>
      </c>
      <c r="B11" s="129">
        <v>54720</v>
      </c>
      <c r="C11" s="129">
        <v>65801</v>
      </c>
      <c r="D11" s="129">
        <v>101526</v>
      </c>
      <c r="E11" s="82">
        <v>26.935629162544117</v>
      </c>
      <c r="F11" s="82">
        <v>26.42525541348069</v>
      </c>
      <c r="G11" s="82">
        <v>32.184600363291686</v>
      </c>
      <c r="H11" s="82">
        <v>55.31798245614035</v>
      </c>
      <c r="I11" s="82">
        <v>45.219677512499814</v>
      </c>
      <c r="J11" s="82">
        <v>41.4</v>
      </c>
      <c r="K11" s="82">
        <v>2.4177631578947367</v>
      </c>
      <c r="L11" s="82">
        <v>3.5212230817160837</v>
      </c>
      <c r="M11" s="82">
        <v>3.9735463104353657</v>
      </c>
      <c r="N11" s="82">
        <v>9.018640350877192</v>
      </c>
      <c r="O11" s="82">
        <v>9.469460950441484</v>
      </c>
      <c r="P11" s="82">
        <v>12.980763949157941</v>
      </c>
      <c r="Q11" s="82">
        <v>13.28764619883041</v>
      </c>
      <c r="R11" s="82">
        <v>22.621236759319768</v>
      </c>
      <c r="S11" s="81">
        <v>26.075779713711317</v>
      </c>
    </row>
    <row r="12" spans="1:19" ht="12.75">
      <c r="A12" s="77" t="s">
        <v>47</v>
      </c>
      <c r="B12" s="129">
        <v>448432</v>
      </c>
      <c r="C12" s="129">
        <v>598425</v>
      </c>
      <c r="D12" s="129">
        <v>924074</v>
      </c>
      <c r="E12" s="82">
        <v>29.651670630740718</v>
      </c>
      <c r="F12" s="82">
        <v>29.356806678002055</v>
      </c>
      <c r="G12" s="82">
        <v>36.707505130297235</v>
      </c>
      <c r="H12" s="82">
        <v>29.89996253612588</v>
      </c>
      <c r="I12" s="82">
        <v>17.617078163512552</v>
      </c>
      <c r="J12" s="82">
        <v>16.9</v>
      </c>
      <c r="K12" s="82">
        <v>4.59356156563314</v>
      </c>
      <c r="L12" s="82">
        <v>7.546810377240256</v>
      </c>
      <c r="M12" s="82">
        <v>6.611865537220456</v>
      </c>
      <c r="N12" s="82">
        <v>16.17569664965926</v>
      </c>
      <c r="O12" s="82">
        <v>18.08079542131428</v>
      </c>
      <c r="P12" s="82">
        <v>19.89820918953009</v>
      </c>
      <c r="Q12" s="82">
        <v>20.76056124451422</v>
      </c>
      <c r="R12" s="82">
        <v>26.54768768016042</v>
      </c>
      <c r="S12" s="81">
        <v>26.116817829158407</v>
      </c>
    </row>
    <row r="13" spans="1:19" ht="12.75">
      <c r="A13" s="77" t="s">
        <v>48</v>
      </c>
      <c r="B13" s="129">
        <v>64787</v>
      </c>
      <c r="C13" s="129">
        <v>71101</v>
      </c>
      <c r="D13" s="129">
        <v>99305</v>
      </c>
      <c r="E13" s="82">
        <v>29.990232702393683</v>
      </c>
      <c r="F13" s="82">
        <v>28.75242127568372</v>
      </c>
      <c r="G13" s="82">
        <v>37.40315406084392</v>
      </c>
      <c r="H13" s="82">
        <v>43.3620942473027</v>
      </c>
      <c r="I13" s="82">
        <v>38.67878088915768</v>
      </c>
      <c r="J13" s="82">
        <v>34.2</v>
      </c>
      <c r="K13" s="82">
        <v>4.053282294287435</v>
      </c>
      <c r="L13" s="82">
        <v>6.905669399867794</v>
      </c>
      <c r="M13" s="82">
        <v>5.885655778313572</v>
      </c>
      <c r="N13" s="82">
        <v>7.200518622563168</v>
      </c>
      <c r="O13" s="82">
        <v>8.105371232472116</v>
      </c>
      <c r="P13" s="82">
        <v>11.995904481949996</v>
      </c>
      <c r="Q13" s="82">
        <v>13.748128482565946</v>
      </c>
      <c r="R13" s="82">
        <v>18.832365226930705</v>
      </c>
      <c r="S13" s="81">
        <v>22.678380729046253</v>
      </c>
    </row>
    <row r="14" spans="1:19" ht="12.75">
      <c r="A14" s="77" t="s">
        <v>49</v>
      </c>
      <c r="B14" s="129">
        <v>94574</v>
      </c>
      <c r="C14" s="129">
        <v>99019</v>
      </c>
      <c r="D14" s="129">
        <v>132350</v>
      </c>
      <c r="E14" s="82">
        <v>27.62583287326305</v>
      </c>
      <c r="F14" s="82">
        <v>27.446800843757885</v>
      </c>
      <c r="G14" s="82">
        <v>34.41729836560091</v>
      </c>
      <c r="H14" s="82">
        <v>69.38693509844143</v>
      </c>
      <c r="I14" s="82">
        <v>56.2477908280229</v>
      </c>
      <c r="J14" s="82">
        <v>49.1</v>
      </c>
      <c r="K14" s="82">
        <v>2.7407109776471335</v>
      </c>
      <c r="L14" s="82">
        <v>5.7776790312970245</v>
      </c>
      <c r="M14" s="82">
        <v>5.27087445120232</v>
      </c>
      <c r="N14" s="82">
        <v>4.578425360035528</v>
      </c>
      <c r="O14" s="82">
        <v>5.362607176400489</v>
      </c>
      <c r="P14" s="82">
        <v>8.37233656905788</v>
      </c>
      <c r="Q14" s="82">
        <v>12.72442743248673</v>
      </c>
      <c r="R14" s="82">
        <v>21.436290004948543</v>
      </c>
      <c r="S14" s="81">
        <v>25.271680025778387</v>
      </c>
    </row>
    <row r="15" spans="1:19" ht="12.75">
      <c r="A15" s="77" t="s">
        <v>50</v>
      </c>
      <c r="B15" s="129">
        <v>111881</v>
      </c>
      <c r="C15" s="129">
        <v>120146</v>
      </c>
      <c r="D15" s="129">
        <v>179053</v>
      </c>
      <c r="E15" s="82">
        <v>29.178837447057106</v>
      </c>
      <c r="F15" s="82">
        <v>26.355378409148244</v>
      </c>
      <c r="G15" s="82">
        <v>33.939900560885135</v>
      </c>
      <c r="H15" s="82">
        <v>72.90603408979183</v>
      </c>
      <c r="I15" s="82">
        <v>59.46182145056847</v>
      </c>
      <c r="J15" s="82">
        <v>54.1</v>
      </c>
      <c r="K15" s="82">
        <v>1.1825064130638803</v>
      </c>
      <c r="L15" s="82">
        <v>3.365904815807434</v>
      </c>
      <c r="M15" s="82">
        <v>3.769919075968771</v>
      </c>
      <c r="N15" s="82">
        <v>7.567862282246315</v>
      </c>
      <c r="O15" s="82">
        <v>8.948279593161654</v>
      </c>
      <c r="P15" s="82">
        <v>10.916426033534158</v>
      </c>
      <c r="Q15" s="82">
        <v>7.373012397100491</v>
      </c>
      <c r="R15" s="82">
        <v>15.60850964659664</v>
      </c>
      <c r="S15" s="81">
        <v>18.63213432676197</v>
      </c>
    </row>
    <row r="16" spans="1:19" ht="12.75">
      <c r="A16" s="77" t="s">
        <v>51</v>
      </c>
      <c r="B16" s="129">
        <v>209906</v>
      </c>
      <c r="C16" s="129">
        <v>206824</v>
      </c>
      <c r="D16" s="129">
        <v>330637</v>
      </c>
      <c r="E16" s="82">
        <v>25.661946829085807</v>
      </c>
      <c r="F16" s="82">
        <v>23.81124524808945</v>
      </c>
      <c r="G16" s="82">
        <v>32.040735439619276</v>
      </c>
      <c r="H16" s="82">
        <v>67.65171076577134</v>
      </c>
      <c r="I16" s="82">
        <v>45.38448149150969</v>
      </c>
      <c r="J16" s="82">
        <v>41.6</v>
      </c>
      <c r="K16" s="82">
        <v>1.9218126208874446</v>
      </c>
      <c r="L16" s="82">
        <v>4.853401926275481</v>
      </c>
      <c r="M16" s="82">
        <v>5.175315063927672</v>
      </c>
      <c r="N16" s="82">
        <v>7.684868464931922</v>
      </c>
      <c r="O16" s="82">
        <v>10.04235485243492</v>
      </c>
      <c r="P16" s="82">
        <v>12.701234116105592</v>
      </c>
      <c r="Q16" s="82">
        <v>9.418501615008623</v>
      </c>
      <c r="R16" s="82">
        <v>20.203167910880747</v>
      </c>
      <c r="S16" s="81">
        <v>23.704047391104037</v>
      </c>
    </row>
    <row r="17" spans="1:19" ht="12.75">
      <c r="A17" s="77" t="s">
        <v>52</v>
      </c>
      <c r="B17" s="129">
        <v>15647</v>
      </c>
      <c r="C17" s="129">
        <v>20931</v>
      </c>
      <c r="D17" s="129">
        <v>31623</v>
      </c>
      <c r="E17" s="82">
        <v>29.342709798406002</v>
      </c>
      <c r="F17" s="82">
        <v>29.809020607545182</v>
      </c>
      <c r="G17" s="82">
        <v>37.549871758335705</v>
      </c>
      <c r="H17" s="82">
        <v>73.91832300121429</v>
      </c>
      <c r="I17" s="82">
        <v>63.01180067841957</v>
      </c>
      <c r="J17" s="82">
        <v>61</v>
      </c>
      <c r="K17" s="82">
        <v>1.4954943439636992</v>
      </c>
      <c r="L17" s="82">
        <v>5.690124695427834</v>
      </c>
      <c r="M17" s="82">
        <v>3.0751708428246016</v>
      </c>
      <c r="N17" s="82">
        <v>2.2048955071259666</v>
      </c>
      <c r="O17" s="82">
        <v>3.009889637379963</v>
      </c>
      <c r="P17" s="82">
        <v>4.818112790777939</v>
      </c>
      <c r="Q17" s="82">
        <v>12.539144884003322</v>
      </c>
      <c r="R17" s="82">
        <v>18.98141512588983</v>
      </c>
      <c r="S17" s="81">
        <v>22.116380202940565</v>
      </c>
    </row>
    <row r="18" spans="1:19" ht="12.75">
      <c r="A18" s="77" t="s">
        <v>53</v>
      </c>
      <c r="B18" s="129">
        <v>20754</v>
      </c>
      <c r="C18" s="129">
        <v>33290</v>
      </c>
      <c r="D18" s="129">
        <v>21857</v>
      </c>
      <c r="E18" s="82">
        <v>33.37407133438394</v>
      </c>
      <c r="F18" s="82">
        <v>28.920163322039787</v>
      </c>
      <c r="G18" s="82">
        <v>38.134203363807664</v>
      </c>
      <c r="H18" s="82">
        <v>61.45321383829623</v>
      </c>
      <c r="I18" s="82">
        <v>55.53619705617302</v>
      </c>
      <c r="J18" s="82">
        <v>63.4</v>
      </c>
      <c r="K18" s="82">
        <v>8.427291124602485</v>
      </c>
      <c r="L18" s="82">
        <v>5.4881345749474315</v>
      </c>
      <c r="M18" s="82">
        <v>2.829986038019547</v>
      </c>
      <c r="N18" s="82">
        <v>3.4162089235809963</v>
      </c>
      <c r="O18" s="82">
        <v>5.088615199759688</v>
      </c>
      <c r="P18" s="82">
        <v>5.114917839115026</v>
      </c>
      <c r="Q18" s="82">
        <v>14.729690662041053</v>
      </c>
      <c r="R18" s="82">
        <v>20.153199158906578</v>
      </c>
      <c r="S18" s="81">
        <v>17.508860487595317</v>
      </c>
    </row>
    <row r="19" spans="1:19" ht="12.75">
      <c r="A19" s="77" t="s">
        <v>54</v>
      </c>
      <c r="B19" s="129">
        <v>7954</v>
      </c>
      <c r="C19" s="129">
        <v>10167</v>
      </c>
      <c r="D19" s="129">
        <v>16636</v>
      </c>
      <c r="E19" s="82">
        <v>33.89729384189218</v>
      </c>
      <c r="F19" s="82">
        <v>31.992825450769374</v>
      </c>
      <c r="G19" s="82">
        <v>40.03465370361457</v>
      </c>
      <c r="H19" s="82">
        <v>59.743525270304254</v>
      </c>
      <c r="I19" s="82">
        <v>38.683977574505754</v>
      </c>
      <c r="J19" s="82">
        <v>41.2</v>
      </c>
      <c r="K19" s="82">
        <v>3.5831028413376917</v>
      </c>
      <c r="L19" s="82">
        <v>6.747319760007868</v>
      </c>
      <c r="M19" s="82">
        <v>3.4961504480626022</v>
      </c>
      <c r="N19" s="82">
        <v>3.7842594920794568</v>
      </c>
      <c r="O19" s="82">
        <v>4.180190813415954</v>
      </c>
      <c r="P19" s="82">
        <v>6.089864950145147</v>
      </c>
      <c r="Q19" s="82">
        <v>23.170731707317074</v>
      </c>
      <c r="R19" s="82">
        <v>35.56604701485197</v>
      </c>
      <c r="S19" s="81">
        <v>33.415372964786066</v>
      </c>
    </row>
    <row r="20" spans="1:19" ht="12.75">
      <c r="A20" s="77" t="s">
        <v>55</v>
      </c>
      <c r="B20" s="129">
        <v>325049</v>
      </c>
      <c r="C20" s="129">
        <v>450520</v>
      </c>
      <c r="D20" s="129">
        <v>706129</v>
      </c>
      <c r="E20" s="82">
        <v>32.88950992911102</v>
      </c>
      <c r="F20" s="82">
        <v>32.59618341322239</v>
      </c>
      <c r="G20" s="82">
        <v>40.20713711431546</v>
      </c>
      <c r="H20" s="82">
        <v>19.234023178043927</v>
      </c>
      <c r="I20" s="82">
        <v>13.351016603036491</v>
      </c>
      <c r="J20" s="82">
        <v>11.9</v>
      </c>
      <c r="K20" s="82">
        <v>9.776679823657357</v>
      </c>
      <c r="L20" s="82">
        <v>9.97070052383912</v>
      </c>
      <c r="M20" s="82">
        <v>7.4250899311667675</v>
      </c>
      <c r="N20" s="82">
        <v>11.71977148060754</v>
      </c>
      <c r="O20" s="82">
        <v>13.793616265648584</v>
      </c>
      <c r="P20" s="82">
        <v>16.352665465079046</v>
      </c>
      <c r="Q20" s="82">
        <v>29.191291159179077</v>
      </c>
      <c r="R20" s="82">
        <v>31.13446683832016</v>
      </c>
      <c r="S20" s="81">
        <v>33.98172965481164</v>
      </c>
    </row>
    <row r="21" spans="1:19" ht="12.75">
      <c r="A21" s="77" t="s">
        <v>56</v>
      </c>
      <c r="B21" s="129">
        <v>86616</v>
      </c>
      <c r="C21" s="129">
        <v>104386</v>
      </c>
      <c r="D21" s="129">
        <v>150804</v>
      </c>
      <c r="E21" s="82">
        <v>30.943126607602174</v>
      </c>
      <c r="F21" s="82">
        <v>31.944108673499056</v>
      </c>
      <c r="G21" s="82">
        <v>41.660865241173546</v>
      </c>
      <c r="H21" s="82">
        <v>50.154705828022536</v>
      </c>
      <c r="I21" s="82">
        <v>40.351196520606216</v>
      </c>
      <c r="J21" s="82">
        <v>38</v>
      </c>
      <c r="K21" s="82">
        <v>3.1091253348111203</v>
      </c>
      <c r="L21" s="82">
        <v>4.833981568409556</v>
      </c>
      <c r="M21" s="82">
        <v>3.9702660968865584</v>
      </c>
      <c r="N21" s="82">
        <v>7.361226563221576</v>
      </c>
      <c r="O21" s="82">
        <v>8.322955185561282</v>
      </c>
      <c r="P21" s="82">
        <v>11.395841562825439</v>
      </c>
      <c r="Q21" s="82">
        <v>16.397663249284196</v>
      </c>
      <c r="R21" s="82">
        <v>18.949859176517926</v>
      </c>
      <c r="S21" s="81">
        <v>20.21043559449851</v>
      </c>
    </row>
    <row r="22" spans="1:19" ht="12.75">
      <c r="A22" s="77" t="s">
        <v>57</v>
      </c>
      <c r="B22" s="129">
        <v>10777</v>
      </c>
      <c r="C22" s="129">
        <v>13751</v>
      </c>
      <c r="D22" s="129">
        <v>24966</v>
      </c>
      <c r="E22" s="82">
        <v>31.244020525903803</v>
      </c>
      <c r="F22" s="82">
        <v>29.451071941059304</v>
      </c>
      <c r="G22" s="82">
        <v>37.731799839799294</v>
      </c>
      <c r="H22" s="82">
        <v>76.0879651108843</v>
      </c>
      <c r="I22" s="82">
        <v>59.297505635953755</v>
      </c>
      <c r="J22" s="82">
        <v>50.4</v>
      </c>
      <c r="K22" s="82">
        <v>1.8094089264173705</v>
      </c>
      <c r="L22" s="82">
        <v>4.945094902188932</v>
      </c>
      <c r="M22" s="82">
        <v>2.8545711714028545</v>
      </c>
      <c r="N22" s="82">
        <v>3.062076644706319</v>
      </c>
      <c r="O22" s="82">
        <v>3.032506726783507</v>
      </c>
      <c r="P22" s="82">
        <v>6.480648064806481</v>
      </c>
      <c r="Q22" s="82">
        <v>12.322538739909065</v>
      </c>
      <c r="R22" s="82">
        <v>22.892880517780526</v>
      </c>
      <c r="S22" s="81">
        <v>20.414898632720416</v>
      </c>
    </row>
    <row r="23" spans="1:19" ht="13.5" thickBot="1">
      <c r="A23" s="93" t="s">
        <v>58</v>
      </c>
      <c r="B23" s="132">
        <v>1627</v>
      </c>
      <c r="C23" s="132">
        <v>2503</v>
      </c>
      <c r="D23" s="132">
        <v>5123</v>
      </c>
      <c r="E23" s="111">
        <v>40.30220460738172</v>
      </c>
      <c r="F23" s="111">
        <v>40.905376695538486</v>
      </c>
      <c r="G23" s="111">
        <v>52.35564639754726</v>
      </c>
      <c r="H23" s="111">
        <v>32.2679778733866</v>
      </c>
      <c r="I23" s="111">
        <v>18.69756292449061</v>
      </c>
      <c r="J23" s="111">
        <v>16.2</v>
      </c>
      <c r="K23" s="111">
        <v>4.425322679778733</v>
      </c>
      <c r="L23" s="111">
        <v>10.986815821014781</v>
      </c>
      <c r="M23" s="111">
        <v>7.768006700167504</v>
      </c>
      <c r="N23" s="111">
        <v>5.777504609711125</v>
      </c>
      <c r="O23" s="111">
        <v>6.991610067918498</v>
      </c>
      <c r="P23" s="111">
        <v>11.725293132328309</v>
      </c>
      <c r="Q23" s="111">
        <v>37.67670559311617</v>
      </c>
      <c r="R23" s="111">
        <v>42.86855773072313</v>
      </c>
      <c r="S23" s="161">
        <v>40.18006700167504</v>
      </c>
    </row>
    <row r="26" ht="12.75">
      <c r="A26" s="207" t="s">
        <v>208</v>
      </c>
    </row>
    <row r="27" spans="1:4" s="188" customFormat="1" ht="11.25">
      <c r="A27" s="209" t="s">
        <v>210</v>
      </c>
      <c r="B27" s="210"/>
      <c r="C27" s="210"/>
      <c r="D27" s="210"/>
    </row>
  </sheetData>
  <mergeCells count="12">
    <mergeCell ref="N1:P1"/>
    <mergeCell ref="Q1:S1"/>
    <mergeCell ref="N2:P2"/>
    <mergeCell ref="Q2:S2"/>
    <mergeCell ref="B1:D1"/>
    <mergeCell ref="E1:G1"/>
    <mergeCell ref="B2:D2"/>
    <mergeCell ref="E2:G2"/>
    <mergeCell ref="H2:J2"/>
    <mergeCell ref="K2:M2"/>
    <mergeCell ref="H1:J1"/>
    <mergeCell ref="K1:M1"/>
  </mergeCells>
  <printOptions/>
  <pageMargins left="0.75" right="0.75" top="0.81" bottom="1" header="0" footer="0"/>
  <pageSetup fitToHeight="1" fitToWidth="1" horizontalDpi="600" verticalDpi="600" orientation="landscape" paperSize="9" scale="8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2:H28"/>
  <sheetViews>
    <sheetView zoomScale="90" zoomScaleNormal="90" workbookViewId="0" topLeftCell="A23">
      <selection activeCell="C29" sqref="C29"/>
    </sheetView>
  </sheetViews>
  <sheetFormatPr defaultColWidth="11.421875" defaultRowHeight="12.75"/>
  <cols>
    <col min="1" max="1" width="21.28125" style="3" customWidth="1"/>
    <col min="2" max="2" width="12.57421875" style="3" customWidth="1"/>
    <col min="3" max="3" width="11.00390625" style="3" customWidth="1"/>
    <col min="4" max="4" width="10.57421875" style="3" customWidth="1"/>
    <col min="5" max="16384" width="11.421875" style="3" customWidth="1"/>
  </cols>
  <sheetData>
    <row r="1" ht="5.25" customHeight="1" thickBot="1"/>
    <row r="2" spans="1:4" ht="45.75" customHeight="1">
      <c r="A2" s="27" t="s">
        <v>126</v>
      </c>
      <c r="B2" s="21" t="s">
        <v>214</v>
      </c>
      <c r="C2" s="280" t="s">
        <v>215</v>
      </c>
      <c r="D2" s="281"/>
    </row>
    <row r="3" spans="1:8" s="50" customFormat="1" ht="17.25" customHeight="1" thickBot="1">
      <c r="A3" s="10" t="s">
        <v>62</v>
      </c>
      <c r="B3" s="22">
        <v>1990</v>
      </c>
      <c r="C3" s="22">
        <v>1982</v>
      </c>
      <c r="D3" s="23">
        <v>1990</v>
      </c>
      <c r="F3" s="164"/>
      <c r="G3" s="164"/>
      <c r="H3" s="164"/>
    </row>
    <row r="4" spans="1:4" ht="12.75">
      <c r="A4" s="72" t="s">
        <v>39</v>
      </c>
      <c r="B4" s="165">
        <v>2.04</v>
      </c>
      <c r="C4" s="165">
        <v>5.21</v>
      </c>
      <c r="D4" s="166">
        <v>4.24</v>
      </c>
    </row>
    <row r="5" spans="1:4" ht="12.75">
      <c r="A5" s="77" t="s">
        <v>40</v>
      </c>
      <c r="B5" s="167">
        <v>2.43</v>
      </c>
      <c r="C5" s="167">
        <v>5.41</v>
      </c>
      <c r="D5" s="168">
        <v>5.52</v>
      </c>
    </row>
    <row r="6" spans="1:4" ht="12.75">
      <c r="A6" s="77" t="s">
        <v>41</v>
      </c>
      <c r="B6" s="167">
        <v>2.3</v>
      </c>
      <c r="C6" s="167">
        <v>6.81</v>
      </c>
      <c r="D6" s="168">
        <v>5.06</v>
      </c>
    </row>
    <row r="7" spans="1:4" ht="12.75">
      <c r="A7" s="77" t="s">
        <v>42</v>
      </c>
      <c r="B7" s="167">
        <v>2.27</v>
      </c>
      <c r="C7" s="167">
        <v>5.66</v>
      </c>
      <c r="D7" s="168">
        <v>4.38</v>
      </c>
    </row>
    <row r="8" spans="1:4" ht="12.75">
      <c r="A8" s="77" t="s">
        <v>43</v>
      </c>
      <c r="B8" s="167">
        <v>2.37</v>
      </c>
      <c r="C8" s="167">
        <v>6.83</v>
      </c>
      <c r="D8" s="168">
        <v>5.36</v>
      </c>
    </row>
    <row r="9" spans="1:4" ht="12.75">
      <c r="A9" s="77" t="s">
        <v>44</v>
      </c>
      <c r="B9" s="167">
        <v>2.27</v>
      </c>
      <c r="C9" s="167">
        <v>6.24</v>
      </c>
      <c r="D9" s="168">
        <v>5.28</v>
      </c>
    </row>
    <row r="10" spans="1:4" ht="12.75">
      <c r="A10" s="77" t="s">
        <v>45</v>
      </c>
      <c r="B10" s="167">
        <v>2.18</v>
      </c>
      <c r="C10" s="167">
        <v>5.25</v>
      </c>
      <c r="D10" s="168">
        <v>3.72</v>
      </c>
    </row>
    <row r="11" spans="1:4" ht="12.75">
      <c r="A11" s="77" t="s">
        <v>46</v>
      </c>
      <c r="B11" s="167">
        <v>2.8</v>
      </c>
      <c r="C11" s="167">
        <v>7.36</v>
      </c>
      <c r="D11" s="168">
        <v>6.11</v>
      </c>
    </row>
    <row r="12" spans="1:4" ht="12.75">
      <c r="A12" s="77" t="s">
        <v>47</v>
      </c>
      <c r="B12" s="167">
        <v>2.04</v>
      </c>
      <c r="C12" s="167">
        <v>4.4</v>
      </c>
      <c r="D12" s="168">
        <v>3.47</v>
      </c>
    </row>
    <row r="13" spans="1:4" ht="12.75">
      <c r="A13" s="77" t="s">
        <v>48</v>
      </c>
      <c r="B13" s="167">
        <v>2.18</v>
      </c>
      <c r="C13" s="167">
        <v>5.5</v>
      </c>
      <c r="D13" s="168">
        <v>4.71</v>
      </c>
    </row>
    <row r="14" spans="1:4" ht="12.75">
      <c r="A14" s="77" t="s">
        <v>49</v>
      </c>
      <c r="B14" s="167">
        <v>2.47</v>
      </c>
      <c r="C14" s="167">
        <v>6.41</v>
      </c>
      <c r="D14" s="168">
        <v>5</v>
      </c>
    </row>
    <row r="15" spans="1:4" ht="12.75">
      <c r="A15" s="77" t="s">
        <v>50</v>
      </c>
      <c r="B15" s="167">
        <v>2.55</v>
      </c>
      <c r="C15" s="167">
        <v>6.23</v>
      </c>
      <c r="D15" s="168">
        <v>4.61</v>
      </c>
    </row>
    <row r="16" spans="1:4" ht="12.75">
      <c r="A16" s="77" t="s">
        <v>51</v>
      </c>
      <c r="B16" s="167">
        <v>2.56</v>
      </c>
      <c r="C16" s="167">
        <v>6.35</v>
      </c>
      <c r="D16" s="168">
        <v>4.66</v>
      </c>
    </row>
    <row r="17" spans="1:4" ht="12.75">
      <c r="A17" s="77" t="s">
        <v>52</v>
      </c>
      <c r="B17" s="167">
        <v>2.82</v>
      </c>
      <c r="C17" s="167">
        <v>7.89</v>
      </c>
      <c r="D17" s="168">
        <v>6.99</v>
      </c>
    </row>
    <row r="18" spans="1:4" ht="12.75">
      <c r="A18" s="77" t="s">
        <v>53</v>
      </c>
      <c r="B18" s="167">
        <v>2.83</v>
      </c>
      <c r="C18" s="167">
        <v>7.76</v>
      </c>
      <c r="D18" s="168">
        <v>6.44</v>
      </c>
    </row>
    <row r="19" spans="1:4" ht="12.75">
      <c r="A19" s="77" t="s">
        <v>54</v>
      </c>
      <c r="B19" s="167">
        <v>2.57</v>
      </c>
      <c r="C19" s="167">
        <v>6.3</v>
      </c>
      <c r="D19" s="168">
        <v>5.47</v>
      </c>
    </row>
    <row r="20" spans="1:4" ht="12.75">
      <c r="A20" s="77" t="s">
        <v>55</v>
      </c>
      <c r="B20" s="167">
        <v>1.8</v>
      </c>
      <c r="C20" s="167">
        <v>4.12</v>
      </c>
      <c r="D20" s="168">
        <v>3.42</v>
      </c>
    </row>
    <row r="21" spans="1:4" ht="12.75">
      <c r="A21" s="77" t="s">
        <v>56</v>
      </c>
      <c r="B21" s="167">
        <v>1.98</v>
      </c>
      <c r="C21" s="167">
        <v>5.02</v>
      </c>
      <c r="D21" s="168">
        <v>3.99</v>
      </c>
    </row>
    <row r="22" spans="1:4" ht="12.75">
      <c r="A22" s="77" t="s">
        <v>57</v>
      </c>
      <c r="B22" s="167">
        <v>2.78</v>
      </c>
      <c r="C22" s="167">
        <v>8.09</v>
      </c>
      <c r="D22" s="168">
        <v>6.21</v>
      </c>
    </row>
    <row r="23" spans="1:4" ht="13.5" thickBot="1">
      <c r="A23" s="93" t="s">
        <v>58</v>
      </c>
      <c r="B23" s="169">
        <v>2.05</v>
      </c>
      <c r="C23" s="169">
        <v>7.83</v>
      </c>
      <c r="D23" s="170">
        <v>5.98</v>
      </c>
    </row>
    <row r="26" ht="12.75">
      <c r="A26" s="207" t="s">
        <v>173</v>
      </c>
    </row>
    <row r="27" spans="1:3" ht="12.75">
      <c r="A27" s="188" t="s">
        <v>216</v>
      </c>
      <c r="B27" s="188"/>
      <c r="C27" s="188"/>
    </row>
    <row r="28" spans="1:3" ht="12.75">
      <c r="A28" s="188" t="s">
        <v>176</v>
      </c>
      <c r="B28" s="188"/>
      <c r="C28" s="188"/>
    </row>
  </sheetData>
  <mergeCells count="1">
    <mergeCell ref="C2:D2"/>
  </mergeCells>
  <printOptions/>
  <pageMargins left="0.59" right="0.75" top="1.19" bottom="1" header="0" footer="0"/>
  <pageSetup fitToHeight="1" fitToWidth="1"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A2:F29"/>
  <sheetViews>
    <sheetView tabSelected="1" zoomScale="85" zoomScaleNormal="85" workbookViewId="0" topLeftCell="C1">
      <selection activeCell="I2" sqref="I2"/>
    </sheetView>
  </sheetViews>
  <sheetFormatPr defaultColWidth="11.421875" defaultRowHeight="12.75"/>
  <cols>
    <col min="1" max="1" width="22.140625" style="3" customWidth="1"/>
    <col min="2" max="2" width="13.8515625" style="3" customWidth="1"/>
    <col min="3" max="3" width="12.28125" style="3" customWidth="1"/>
    <col min="4" max="4" width="13.00390625" style="3" customWidth="1"/>
    <col min="5" max="16384" width="9.140625" style="3" customWidth="1"/>
  </cols>
  <sheetData>
    <row r="1" ht="6.75" customHeight="1" thickBot="1"/>
    <row r="2" spans="1:4" ht="56.25" customHeight="1">
      <c r="A2" s="27" t="s">
        <v>127</v>
      </c>
      <c r="B2" s="21" t="s">
        <v>218</v>
      </c>
      <c r="C2" s="21" t="s">
        <v>217</v>
      </c>
      <c r="D2" s="24" t="s">
        <v>220</v>
      </c>
    </row>
    <row r="3" spans="1:4" ht="13.5" thickBot="1">
      <c r="A3" s="25" t="s">
        <v>62</v>
      </c>
      <c r="B3" s="22">
        <v>1998</v>
      </c>
      <c r="C3" s="22">
        <v>1999</v>
      </c>
      <c r="D3" s="23">
        <v>1999</v>
      </c>
    </row>
    <row r="4" spans="1:4" ht="12.75">
      <c r="A4" s="72" t="s">
        <v>39</v>
      </c>
      <c r="B4" s="211">
        <v>940</v>
      </c>
      <c r="C4" s="171">
        <v>7.8</v>
      </c>
      <c r="D4" s="172">
        <v>57.8</v>
      </c>
    </row>
    <row r="5" spans="1:4" ht="12.75">
      <c r="A5" s="77" t="s">
        <v>40</v>
      </c>
      <c r="B5" s="212">
        <v>110</v>
      </c>
      <c r="C5" s="173">
        <v>15.4</v>
      </c>
      <c r="D5" s="174">
        <v>57.8</v>
      </c>
    </row>
    <row r="6" spans="1:4" ht="12.75">
      <c r="A6" s="77" t="s">
        <v>41</v>
      </c>
      <c r="B6" s="212">
        <v>261</v>
      </c>
      <c r="C6" s="173">
        <v>7.8</v>
      </c>
      <c r="D6" s="174">
        <v>57.8</v>
      </c>
    </row>
    <row r="7" spans="1:4" ht="12.75">
      <c r="A7" s="77" t="s">
        <v>42</v>
      </c>
      <c r="B7" s="212">
        <v>203</v>
      </c>
      <c r="C7" s="173">
        <v>18.8</v>
      </c>
      <c r="D7" s="174">
        <v>175.3</v>
      </c>
    </row>
    <row r="8" spans="1:4" ht="12.75">
      <c r="A8" s="77" t="s">
        <v>43</v>
      </c>
      <c r="B8" s="212">
        <v>288</v>
      </c>
      <c r="C8" s="173">
        <v>7.8</v>
      </c>
      <c r="D8" s="174">
        <v>57.8</v>
      </c>
    </row>
    <row r="9" spans="1:4" ht="12.75">
      <c r="A9" s="77" t="s">
        <v>44</v>
      </c>
      <c r="B9" s="212">
        <v>347</v>
      </c>
      <c r="C9" s="173">
        <v>7.8</v>
      </c>
      <c r="D9" s="174">
        <v>175.3</v>
      </c>
    </row>
    <row r="10" spans="1:4" ht="12.75">
      <c r="A10" s="77" t="s">
        <v>45</v>
      </c>
      <c r="B10" s="212">
        <v>352</v>
      </c>
      <c r="C10" s="173">
        <v>8.5</v>
      </c>
      <c r="D10" s="174">
        <v>175.3</v>
      </c>
    </row>
    <row r="11" spans="1:4" ht="12.75">
      <c r="A11" s="77" t="s">
        <v>46</v>
      </c>
      <c r="B11" s="212">
        <v>268</v>
      </c>
      <c r="C11" s="173">
        <v>33.6</v>
      </c>
      <c r="D11" s="174">
        <v>175.3</v>
      </c>
    </row>
    <row r="12" spans="1:4" ht="12.75">
      <c r="A12" s="77" t="s">
        <v>47</v>
      </c>
      <c r="B12" s="212">
        <v>4786</v>
      </c>
      <c r="C12" s="173">
        <v>17.7</v>
      </c>
      <c r="D12" s="174">
        <v>309</v>
      </c>
    </row>
    <row r="13" spans="1:4" ht="12.75">
      <c r="A13" s="77" t="s">
        <v>48</v>
      </c>
      <c r="B13" s="212">
        <v>432</v>
      </c>
      <c r="C13" s="173">
        <v>12.3</v>
      </c>
      <c r="D13" s="174">
        <v>175.3</v>
      </c>
    </row>
    <row r="14" spans="1:4" ht="12.75">
      <c r="A14" s="77" t="s">
        <v>49</v>
      </c>
      <c r="B14" s="212">
        <v>167</v>
      </c>
      <c r="C14" s="173">
        <v>8.5</v>
      </c>
      <c r="D14" s="174">
        <v>57.8</v>
      </c>
    </row>
    <row r="15" spans="1:4" ht="12.75">
      <c r="A15" s="77" t="s">
        <v>50</v>
      </c>
      <c r="B15" s="212">
        <v>513</v>
      </c>
      <c r="C15" s="173">
        <v>30.5</v>
      </c>
      <c r="D15" s="174">
        <v>175.3</v>
      </c>
    </row>
    <row r="16" spans="1:4" ht="12.75">
      <c r="A16" s="77" t="s">
        <v>51</v>
      </c>
      <c r="B16" s="212">
        <v>686</v>
      </c>
      <c r="C16" s="173">
        <v>11.2</v>
      </c>
      <c r="D16" s="174">
        <v>57.8</v>
      </c>
    </row>
    <row r="17" spans="1:4" ht="12.75">
      <c r="A17" s="77" t="s">
        <v>52</v>
      </c>
      <c r="B17" s="212">
        <v>33</v>
      </c>
      <c r="C17" s="173">
        <v>7.8</v>
      </c>
      <c r="D17" s="174">
        <v>57.8</v>
      </c>
    </row>
    <row r="18" spans="1:4" ht="12.75">
      <c r="A18" s="77" t="s">
        <v>53</v>
      </c>
      <c r="B18" s="212">
        <v>91</v>
      </c>
      <c r="C18" s="173">
        <v>8.5</v>
      </c>
      <c r="D18" s="174">
        <v>57.8</v>
      </c>
    </row>
    <row r="19" spans="1:4" ht="12.75">
      <c r="A19" s="77" t="s">
        <v>54</v>
      </c>
      <c r="B19" s="212">
        <v>109</v>
      </c>
      <c r="C19" s="173">
        <v>8.5</v>
      </c>
      <c r="D19" s="174">
        <v>175.3</v>
      </c>
    </row>
    <row r="20" spans="1:4" ht="12.75">
      <c r="A20" s="77" t="s">
        <v>55</v>
      </c>
      <c r="B20" s="212">
        <v>7360</v>
      </c>
      <c r="C20" s="173">
        <v>16</v>
      </c>
      <c r="D20" s="174">
        <v>508.8</v>
      </c>
    </row>
    <row r="21" spans="1:4" ht="12.75">
      <c r="A21" s="77" t="s">
        <v>56</v>
      </c>
      <c r="B21" s="212">
        <v>597</v>
      </c>
      <c r="C21" s="173">
        <v>7.8</v>
      </c>
      <c r="D21" s="174">
        <v>175.3</v>
      </c>
    </row>
    <row r="22" spans="1:4" ht="12.75">
      <c r="A22" s="77" t="s">
        <v>57</v>
      </c>
      <c r="B22" s="212">
        <v>45</v>
      </c>
      <c r="C22" s="173">
        <v>8.5</v>
      </c>
      <c r="D22" s="174">
        <v>175.3</v>
      </c>
    </row>
    <row r="23" spans="1:4" ht="13.5" thickBot="1">
      <c r="A23" s="93" t="s">
        <v>58</v>
      </c>
      <c r="B23" s="213">
        <v>6</v>
      </c>
      <c r="C23" s="175">
        <v>8.5</v>
      </c>
      <c r="D23" s="176">
        <v>0</v>
      </c>
    </row>
    <row r="26" s="192" customFormat="1" ht="12">
      <c r="A26" s="207" t="s">
        <v>173</v>
      </c>
    </row>
    <row r="27" spans="1:6" ht="12.75">
      <c r="A27" s="188" t="s">
        <v>219</v>
      </c>
      <c r="B27" s="188"/>
      <c r="C27" s="188"/>
      <c r="D27" s="188"/>
      <c r="E27" s="188"/>
      <c r="F27" s="188"/>
    </row>
    <row r="28" spans="1:6" ht="12.75">
      <c r="A28" s="188" t="s">
        <v>176</v>
      </c>
      <c r="B28" s="188"/>
      <c r="C28" s="188"/>
      <c r="D28" s="188"/>
      <c r="E28" s="188"/>
      <c r="F28" s="188"/>
    </row>
    <row r="29" spans="1:6" ht="12.75">
      <c r="A29" s="188" t="s">
        <v>164</v>
      </c>
      <c r="B29" s="188"/>
      <c r="C29" s="188"/>
      <c r="D29" s="188"/>
      <c r="E29" s="188"/>
      <c r="F29" s="188"/>
    </row>
  </sheetData>
  <printOptions/>
  <pageMargins left="1.16" right="0.75" top="1.61" bottom="1" header="1.92" footer="0.5"/>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T181"/>
  <sheetViews>
    <sheetView zoomScale="75" zoomScaleNormal="75" workbookViewId="0" topLeftCell="A76">
      <selection activeCell="B93" sqref="B93"/>
    </sheetView>
  </sheetViews>
  <sheetFormatPr defaultColWidth="11.421875" defaultRowHeight="12.75"/>
  <cols>
    <col min="1" max="1" width="13.140625" style="3" customWidth="1"/>
    <col min="2" max="2" width="14.28125" style="3" customWidth="1"/>
    <col min="3" max="3" width="14.00390625" style="3" customWidth="1"/>
    <col min="4" max="4" width="14.57421875" style="3" customWidth="1"/>
    <col min="5" max="5" width="14.28125" style="3" customWidth="1"/>
    <col min="6" max="6" width="14.421875" style="3" customWidth="1"/>
    <col min="7" max="7" width="14.57421875" style="3" customWidth="1"/>
    <col min="8" max="10" width="15.140625" style="3" customWidth="1"/>
    <col min="11" max="11" width="19.140625" style="3" customWidth="1"/>
    <col min="12" max="12" width="11.00390625" style="3" customWidth="1"/>
    <col min="13" max="13" width="13.140625" style="3" customWidth="1"/>
    <col min="14" max="15" width="9.140625" style="3" customWidth="1"/>
    <col min="16" max="16" width="11.421875" style="3" customWidth="1"/>
    <col min="17" max="17" width="10.8515625" style="3" customWidth="1"/>
    <col min="18" max="18" width="9.7109375" style="3" customWidth="1"/>
    <col min="19" max="16384" width="9.140625" style="3" customWidth="1"/>
  </cols>
  <sheetData>
    <row r="2" spans="1:16" ht="10.5" customHeight="1">
      <c r="A2" s="50"/>
      <c r="B2" s="50"/>
      <c r="C2" s="50"/>
      <c r="D2" s="50"/>
      <c r="E2" s="50"/>
      <c r="F2" s="50"/>
      <c r="G2" s="50"/>
      <c r="H2" s="50"/>
      <c r="I2" s="50"/>
      <c r="J2" s="50"/>
      <c r="K2" s="50"/>
      <c r="L2" s="50"/>
      <c r="M2" s="50"/>
      <c r="P2" s="50"/>
    </row>
    <row r="3" spans="1:16" ht="21" customHeight="1" thickBot="1">
      <c r="A3" s="50" t="s">
        <v>128</v>
      </c>
      <c r="B3" s="50"/>
      <c r="C3" s="50"/>
      <c r="D3" s="50"/>
      <c r="E3" s="50"/>
      <c r="F3" s="50"/>
      <c r="G3" s="50"/>
      <c r="H3" s="50"/>
      <c r="I3" s="50"/>
      <c r="J3" s="50"/>
      <c r="K3" s="50"/>
      <c r="L3" s="50"/>
      <c r="M3" s="50"/>
      <c r="P3" s="50"/>
    </row>
    <row r="4" spans="1:13" s="51" customFormat="1" ht="66" customHeight="1">
      <c r="A4" s="255" t="s">
        <v>226</v>
      </c>
      <c r="B4" s="256"/>
      <c r="C4" s="9" t="s">
        <v>227</v>
      </c>
      <c r="D4" s="9" t="s">
        <v>134</v>
      </c>
      <c r="E4" s="9" t="s">
        <v>134</v>
      </c>
      <c r="F4" s="9" t="s">
        <v>135</v>
      </c>
      <c r="G4" s="9" t="s">
        <v>71</v>
      </c>
      <c r="H4" s="9" t="s">
        <v>236</v>
      </c>
      <c r="I4" s="9" t="s">
        <v>136</v>
      </c>
      <c r="J4" s="9" t="s">
        <v>137</v>
      </c>
      <c r="K4" s="9" t="s">
        <v>239</v>
      </c>
      <c r="L4" s="9" t="s">
        <v>241</v>
      </c>
      <c r="M4" s="15" t="s">
        <v>243</v>
      </c>
    </row>
    <row r="5" spans="1:13" s="51" customFormat="1" ht="45.75" thickBot="1">
      <c r="A5" s="5" t="s">
        <v>62</v>
      </c>
      <c r="B5" s="6" t="s">
        <v>63</v>
      </c>
      <c r="C5" s="6" t="s">
        <v>64</v>
      </c>
      <c r="D5" s="6" t="s">
        <v>65</v>
      </c>
      <c r="E5" s="6" t="s">
        <v>66</v>
      </c>
      <c r="F5" s="6" t="s">
        <v>67</v>
      </c>
      <c r="G5" s="6" t="s">
        <v>68</v>
      </c>
      <c r="H5" s="6" t="s">
        <v>69</v>
      </c>
      <c r="I5" s="6" t="s">
        <v>69</v>
      </c>
      <c r="J5" s="6" t="s">
        <v>70</v>
      </c>
      <c r="K5" s="6" t="s">
        <v>72</v>
      </c>
      <c r="L5" s="6" t="s">
        <v>138</v>
      </c>
      <c r="M5" s="8" t="s">
        <v>139</v>
      </c>
    </row>
    <row r="6" spans="1:13" ht="12.75">
      <c r="A6" s="52" t="s">
        <v>23</v>
      </c>
      <c r="B6" s="53" t="s">
        <v>10</v>
      </c>
      <c r="C6" s="54"/>
      <c r="D6" s="54"/>
      <c r="E6" s="54"/>
      <c r="F6" s="54"/>
      <c r="G6" s="54"/>
      <c r="H6" s="48"/>
      <c r="I6" s="55"/>
      <c r="J6" s="55"/>
      <c r="K6" s="55">
        <v>1.35</v>
      </c>
      <c r="L6" s="55">
        <v>276</v>
      </c>
      <c r="M6" s="56">
        <f aca="true" t="shared" si="0" ref="M6:M11">K7*1000/L6</f>
        <v>8.659420289855072</v>
      </c>
    </row>
    <row r="7" spans="1:13" ht="12.75">
      <c r="A7" s="57" t="s">
        <v>23</v>
      </c>
      <c r="B7" s="58" t="s">
        <v>11</v>
      </c>
      <c r="C7" s="43"/>
      <c r="D7" s="59"/>
      <c r="E7" s="59"/>
      <c r="F7" s="59"/>
      <c r="G7" s="59"/>
      <c r="H7" s="60">
        <v>1910</v>
      </c>
      <c r="I7" s="60"/>
      <c r="J7" s="60"/>
      <c r="K7" s="60">
        <v>2.39</v>
      </c>
      <c r="L7" s="60">
        <v>276</v>
      </c>
      <c r="M7" s="61">
        <f t="shared" si="0"/>
        <v>14.63768115942029</v>
      </c>
    </row>
    <row r="8" spans="1:13" ht="12.75">
      <c r="A8" s="57" t="s">
        <v>23</v>
      </c>
      <c r="B8" s="58" t="s">
        <v>21</v>
      </c>
      <c r="C8" s="43"/>
      <c r="D8" s="59"/>
      <c r="E8" s="59"/>
      <c r="F8" s="59"/>
      <c r="G8" s="59"/>
      <c r="H8" s="60">
        <v>560</v>
      </c>
      <c r="I8" s="43"/>
      <c r="J8" s="43"/>
      <c r="K8" s="60">
        <v>4.04</v>
      </c>
      <c r="L8" s="60">
        <v>276</v>
      </c>
      <c r="M8" s="61">
        <f t="shared" si="0"/>
        <v>22.17391304347826</v>
      </c>
    </row>
    <row r="9" spans="1:13" ht="12.75">
      <c r="A9" s="57" t="s">
        <v>23</v>
      </c>
      <c r="B9" s="58" t="s">
        <v>22</v>
      </c>
      <c r="C9" s="59"/>
      <c r="D9" s="59"/>
      <c r="E9" s="59"/>
      <c r="F9" s="59"/>
      <c r="G9" s="59"/>
      <c r="H9" s="43">
        <v>992</v>
      </c>
      <c r="I9" s="43"/>
      <c r="J9" s="43"/>
      <c r="K9" s="60">
        <v>6.12</v>
      </c>
      <c r="L9" s="62">
        <v>276</v>
      </c>
      <c r="M9" s="61">
        <f t="shared" si="0"/>
        <v>35.471014492753625</v>
      </c>
    </row>
    <row r="10" spans="1:13" ht="12.75">
      <c r="A10" s="57" t="s">
        <v>23</v>
      </c>
      <c r="B10" s="58" t="s">
        <v>12</v>
      </c>
      <c r="C10" s="59"/>
      <c r="D10" s="63"/>
      <c r="E10" s="63"/>
      <c r="F10" s="63"/>
      <c r="G10" s="63"/>
      <c r="H10" s="43"/>
      <c r="I10" s="43"/>
      <c r="J10" s="43"/>
      <c r="K10" s="60">
        <v>9.79</v>
      </c>
      <c r="L10" s="62">
        <v>276</v>
      </c>
      <c r="M10" s="61">
        <f t="shared" si="0"/>
        <v>56.15942028985507</v>
      </c>
    </row>
    <row r="11" spans="1:13" ht="12.75">
      <c r="A11" s="57" t="s">
        <v>23</v>
      </c>
      <c r="B11" s="58" t="s">
        <v>34</v>
      </c>
      <c r="C11" s="59"/>
      <c r="D11" s="63"/>
      <c r="E11" s="63"/>
      <c r="F11" s="63"/>
      <c r="G11" s="63"/>
      <c r="H11" s="43"/>
      <c r="I11" s="43"/>
      <c r="J11" s="43"/>
      <c r="K11" s="64">
        <v>15.5</v>
      </c>
      <c r="L11" s="62">
        <v>276</v>
      </c>
      <c r="M11" s="61">
        <f t="shared" si="0"/>
        <v>64.56521739130434</v>
      </c>
    </row>
    <row r="12" spans="1:13" ht="13.5" thickBot="1">
      <c r="A12" s="65" t="s">
        <v>23</v>
      </c>
      <c r="B12" s="66">
        <v>2001</v>
      </c>
      <c r="C12" s="67"/>
      <c r="D12" s="68"/>
      <c r="E12" s="68"/>
      <c r="F12" s="68"/>
      <c r="G12" s="68"/>
      <c r="H12" s="46"/>
      <c r="I12" s="46"/>
      <c r="J12" s="46"/>
      <c r="K12" s="69">
        <v>17.82</v>
      </c>
      <c r="L12" s="70">
        <v>276</v>
      </c>
      <c r="M12" s="71">
        <f>17817/L12</f>
        <v>64.55434782608695</v>
      </c>
    </row>
    <row r="13" spans="1:13" ht="12.75">
      <c r="A13" s="72" t="s">
        <v>1</v>
      </c>
      <c r="B13" s="53" t="s">
        <v>10</v>
      </c>
      <c r="C13" s="48">
        <v>364</v>
      </c>
      <c r="D13" s="73">
        <f>C13/C$114</f>
        <v>0.433849821215733</v>
      </c>
      <c r="E13" s="249">
        <f>SUM(C13:C17)/C$120</f>
        <v>0.3508138696873906</v>
      </c>
      <c r="F13" s="74">
        <f>C13/K13/1000</f>
        <v>0.000625279142474319</v>
      </c>
      <c r="G13" s="252">
        <f>SUM(F13:F17)/5</f>
        <v>0.0004548071995006759</v>
      </c>
      <c r="H13" s="48"/>
      <c r="I13" s="48"/>
      <c r="J13" s="75"/>
      <c r="K13" s="55">
        <v>582.14</v>
      </c>
      <c r="L13" s="48">
        <v>20503</v>
      </c>
      <c r="M13" s="76">
        <f aca="true" t="shared" si="1" ref="M13:M44">K13*1000/L13</f>
        <v>28.392918109544944</v>
      </c>
    </row>
    <row r="14" spans="1:13" ht="12.75">
      <c r="A14" s="77" t="s">
        <v>1</v>
      </c>
      <c r="B14" s="58" t="s">
        <v>11</v>
      </c>
      <c r="C14" s="43">
        <v>467</v>
      </c>
      <c r="D14" s="78">
        <f>C14/C$115</f>
        <v>0.3907949790794979</v>
      </c>
      <c r="E14" s="247"/>
      <c r="F14" s="79">
        <f>C14/K14/1000</f>
        <v>0.0004769101938277404</v>
      </c>
      <c r="G14" s="253"/>
      <c r="H14" s="43">
        <v>398</v>
      </c>
      <c r="I14" s="80">
        <f>H14/H$115</f>
        <v>0.5437158469945356</v>
      </c>
      <c r="J14" s="246">
        <f>SUM(I14:I16)/3</f>
        <v>0.24924174550474607</v>
      </c>
      <c r="K14" s="43">
        <v>979.22</v>
      </c>
      <c r="L14" s="43">
        <v>20503</v>
      </c>
      <c r="M14" s="81">
        <f t="shared" si="1"/>
        <v>47.75984002341121</v>
      </c>
    </row>
    <row r="15" spans="1:13" ht="12.75">
      <c r="A15" s="77" t="s">
        <v>1</v>
      </c>
      <c r="B15" s="58" t="s">
        <v>21</v>
      </c>
      <c r="C15" s="63">
        <v>320</v>
      </c>
      <c r="D15" s="78">
        <f>C15/C$116</f>
        <v>0.22330774598743894</v>
      </c>
      <c r="E15" s="247"/>
      <c r="F15" s="79">
        <f>C15/K15/1000</f>
        <v>0.00021159403040341726</v>
      </c>
      <c r="G15" s="253"/>
      <c r="H15" s="60">
        <v>154</v>
      </c>
      <c r="I15" s="80">
        <f>H15/H$116</f>
        <v>0.5082508250825083</v>
      </c>
      <c r="J15" s="247"/>
      <c r="K15" s="43">
        <v>1512.33</v>
      </c>
      <c r="L15" s="43">
        <v>20503</v>
      </c>
      <c r="M15" s="81">
        <f t="shared" si="1"/>
        <v>73.76140077061893</v>
      </c>
    </row>
    <row r="16" spans="1:13" ht="12.75">
      <c r="A16" s="77" t="s">
        <v>1</v>
      </c>
      <c r="B16" s="58" t="s">
        <v>22</v>
      </c>
      <c r="C16" s="63">
        <v>964</v>
      </c>
      <c r="D16" s="78">
        <f>C16/C$117</f>
        <v>0.41695501730103807</v>
      </c>
      <c r="E16" s="247"/>
      <c r="F16" s="79">
        <f>C16/K16/1000</f>
        <v>0.0004729083372170031</v>
      </c>
      <c r="G16" s="253"/>
      <c r="H16" s="43">
        <v>-373</v>
      </c>
      <c r="I16" s="80">
        <f>H16/H$117</f>
        <v>-0.30424143556280586</v>
      </c>
      <c r="J16" s="248"/>
      <c r="K16" s="43">
        <v>2038.45</v>
      </c>
      <c r="L16" s="43">
        <v>20503</v>
      </c>
      <c r="M16" s="81">
        <f t="shared" si="1"/>
        <v>99.42203579963908</v>
      </c>
    </row>
    <row r="17" spans="1:13" ht="12.75">
      <c r="A17" s="77" t="s">
        <v>1</v>
      </c>
      <c r="B17" s="58" t="s">
        <v>12</v>
      </c>
      <c r="C17" s="63">
        <f>33.2%*3692</f>
        <v>1225.7440000000001</v>
      </c>
      <c r="D17" s="78">
        <f>C17/C$118</f>
        <v>0.36483516483516487</v>
      </c>
      <c r="E17" s="248"/>
      <c r="F17" s="79">
        <f>C17/K17/1000</f>
        <v>0.0004873442935808998</v>
      </c>
      <c r="G17" s="254"/>
      <c r="H17" s="43"/>
      <c r="I17" s="80"/>
      <c r="J17" s="80"/>
      <c r="K17" s="43">
        <v>2515.15</v>
      </c>
      <c r="L17" s="43">
        <v>20503</v>
      </c>
      <c r="M17" s="81">
        <f t="shared" si="1"/>
        <v>122.67229185972785</v>
      </c>
    </row>
    <row r="18" spans="1:13" ht="12.75">
      <c r="A18" s="77" t="s">
        <v>1</v>
      </c>
      <c r="B18" s="58" t="s">
        <v>30</v>
      </c>
      <c r="C18" s="63"/>
      <c r="D18" s="78"/>
      <c r="E18" s="78"/>
      <c r="F18" s="79"/>
      <c r="G18" s="79"/>
      <c r="H18" s="43"/>
      <c r="I18" s="80"/>
      <c r="J18" s="80"/>
      <c r="K18" s="82">
        <v>3274.5</v>
      </c>
      <c r="L18" s="43">
        <v>20503</v>
      </c>
      <c r="M18" s="81">
        <f t="shared" si="1"/>
        <v>159.70833536555625</v>
      </c>
    </row>
    <row r="19" spans="1:13" ht="13.5" thickBot="1">
      <c r="A19" s="83" t="s">
        <v>1</v>
      </c>
      <c r="B19" s="84">
        <v>2001</v>
      </c>
      <c r="C19" s="85"/>
      <c r="D19" s="86"/>
      <c r="E19" s="86"/>
      <c r="F19" s="87"/>
      <c r="G19" s="87"/>
      <c r="H19" s="88"/>
      <c r="I19" s="89"/>
      <c r="J19" s="89"/>
      <c r="K19" s="88">
        <v>3256.76</v>
      </c>
      <c r="L19" s="88">
        <v>20503</v>
      </c>
      <c r="M19" s="90">
        <f t="shared" si="1"/>
        <v>158.84309613227333</v>
      </c>
    </row>
    <row r="20" spans="1:13" ht="12.75">
      <c r="A20" s="72" t="s">
        <v>2</v>
      </c>
      <c r="B20" s="53" t="s">
        <v>10</v>
      </c>
      <c r="C20" s="48">
        <v>157</v>
      </c>
      <c r="D20" s="73">
        <f>C20/C$114</f>
        <v>0.1871275327771156</v>
      </c>
      <c r="E20" s="249">
        <f>SUM(C20:C24)/C$120</f>
        <v>0.13932105751236581</v>
      </c>
      <c r="F20" s="74">
        <f>C20/K20/1000</f>
        <v>0.0008353729913802277</v>
      </c>
      <c r="G20" s="252">
        <f>SUM(F20:F24)/5</f>
        <v>0.0009270153602948212</v>
      </c>
      <c r="H20" s="48"/>
      <c r="I20" s="91"/>
      <c r="J20" s="92"/>
      <c r="K20" s="48">
        <v>187.94</v>
      </c>
      <c r="L20" s="48">
        <v>3355</v>
      </c>
      <c r="M20" s="76">
        <f t="shared" si="1"/>
        <v>56.01788375558867</v>
      </c>
    </row>
    <row r="21" spans="1:13" ht="12.75">
      <c r="A21" s="77" t="s">
        <v>2</v>
      </c>
      <c r="B21" s="58" t="s">
        <v>11</v>
      </c>
      <c r="C21" s="43">
        <v>147</v>
      </c>
      <c r="D21" s="78">
        <f>C21/C$115</f>
        <v>0.12301255230125523</v>
      </c>
      <c r="E21" s="247"/>
      <c r="F21" s="79">
        <f>C21/K21/1000</f>
        <v>0.0006854425067611676</v>
      </c>
      <c r="G21" s="253"/>
      <c r="H21" s="43">
        <v>42</v>
      </c>
      <c r="I21" s="80">
        <f>H21/H$115</f>
        <v>0.05737704918032787</v>
      </c>
      <c r="J21" s="246">
        <f>SUM(I21:I23)/3</f>
        <v>0.02907243629987046</v>
      </c>
      <c r="K21" s="43">
        <v>214.46</v>
      </c>
      <c r="L21" s="43">
        <v>3355</v>
      </c>
      <c r="M21" s="81">
        <f t="shared" si="1"/>
        <v>63.92250372578241</v>
      </c>
    </row>
    <row r="22" spans="1:13" ht="12.75">
      <c r="A22" s="77" t="s">
        <v>2</v>
      </c>
      <c r="B22" s="58" t="s">
        <v>21</v>
      </c>
      <c r="C22" s="63">
        <v>272</v>
      </c>
      <c r="D22" s="78">
        <f>C22/C$116</f>
        <v>0.1898115840893231</v>
      </c>
      <c r="E22" s="247"/>
      <c r="F22" s="79">
        <f>C22/K22/1000</f>
        <v>0.0009717062017719348</v>
      </c>
      <c r="G22" s="253"/>
      <c r="H22" s="60">
        <v>-9</v>
      </c>
      <c r="I22" s="80">
        <f>H22/H$116</f>
        <v>-0.0297029702970297</v>
      </c>
      <c r="J22" s="247"/>
      <c r="K22" s="43">
        <v>279.92</v>
      </c>
      <c r="L22" s="43">
        <v>3355</v>
      </c>
      <c r="M22" s="81">
        <f t="shared" si="1"/>
        <v>83.43368107302534</v>
      </c>
    </row>
    <row r="23" spans="1:13" ht="12.75">
      <c r="A23" s="77" t="s">
        <v>2</v>
      </c>
      <c r="B23" s="58" t="s">
        <v>22</v>
      </c>
      <c r="C23" s="63">
        <v>304</v>
      </c>
      <c r="D23" s="78">
        <f>C23/C$117</f>
        <v>0.1314878892733564</v>
      </c>
      <c r="E23" s="247"/>
      <c r="F23" s="79">
        <f>C23/K23/1000</f>
        <v>0.0009302894914009427</v>
      </c>
      <c r="G23" s="253"/>
      <c r="H23" s="43">
        <v>73</v>
      </c>
      <c r="I23" s="80">
        <f>H23/H$117</f>
        <v>0.05954323001631321</v>
      </c>
      <c r="J23" s="248"/>
      <c r="K23" s="43">
        <v>326.78</v>
      </c>
      <c r="L23" s="43">
        <v>3355</v>
      </c>
      <c r="M23" s="81">
        <f t="shared" si="1"/>
        <v>97.40089418777943</v>
      </c>
    </row>
    <row r="24" spans="1:13" ht="12.75">
      <c r="A24" s="77" t="s">
        <v>2</v>
      </c>
      <c r="B24" s="58" t="s">
        <v>12</v>
      </c>
      <c r="C24" s="63">
        <f>12.1%*3692</f>
        <v>446.73199999999997</v>
      </c>
      <c r="D24" s="78">
        <f>C24/C$118</f>
        <v>0.13296703296703294</v>
      </c>
      <c r="E24" s="248"/>
      <c r="F24" s="79">
        <f>C24/K24/1000</f>
        <v>0.0012122656101598327</v>
      </c>
      <c r="G24" s="254"/>
      <c r="H24" s="43"/>
      <c r="I24" s="80"/>
      <c r="J24" s="80"/>
      <c r="K24" s="43">
        <v>368.51</v>
      </c>
      <c r="L24" s="43">
        <v>3355</v>
      </c>
      <c r="M24" s="81">
        <f t="shared" si="1"/>
        <v>109.83904619970194</v>
      </c>
    </row>
    <row r="25" spans="1:13" ht="12.75">
      <c r="A25" s="77" t="s">
        <v>2</v>
      </c>
      <c r="B25" s="58" t="s">
        <v>30</v>
      </c>
      <c r="C25" s="63"/>
      <c r="D25" s="78"/>
      <c r="E25" s="78"/>
      <c r="F25" s="79"/>
      <c r="G25" s="79"/>
      <c r="H25" s="43"/>
      <c r="I25" s="80"/>
      <c r="J25" s="80"/>
      <c r="K25" s="43">
        <v>434.5</v>
      </c>
      <c r="L25" s="43">
        <v>3355</v>
      </c>
      <c r="M25" s="81">
        <f t="shared" si="1"/>
        <v>129.50819672131146</v>
      </c>
    </row>
    <row r="26" spans="1:13" ht="13.5" thickBot="1">
      <c r="A26" s="83" t="s">
        <v>2</v>
      </c>
      <c r="B26" s="84">
        <v>2001</v>
      </c>
      <c r="C26" s="85"/>
      <c r="D26" s="86"/>
      <c r="E26" s="86"/>
      <c r="F26" s="87"/>
      <c r="G26" s="87"/>
      <c r="H26" s="88"/>
      <c r="I26" s="89"/>
      <c r="J26" s="89"/>
      <c r="K26" s="88">
        <v>441.39</v>
      </c>
      <c r="L26" s="88">
        <v>3355</v>
      </c>
      <c r="M26" s="90">
        <f t="shared" si="1"/>
        <v>131.5618479880775</v>
      </c>
    </row>
    <row r="27" spans="1:13" ht="12.75">
      <c r="A27" s="72" t="s">
        <v>13</v>
      </c>
      <c r="B27" s="53" t="s">
        <v>10</v>
      </c>
      <c r="C27" s="48">
        <v>145</v>
      </c>
      <c r="D27" s="73">
        <f>C27/C$114</f>
        <v>0.1728247914183552</v>
      </c>
      <c r="E27" s="249">
        <f>SUM(C27:C31)/C$120</f>
        <v>0.12407056341076439</v>
      </c>
      <c r="F27" s="74">
        <f>C27/K27/1000</f>
        <v>0.00037514229535340994</v>
      </c>
      <c r="G27" s="249">
        <f>SUM(F27:F31)/5</f>
        <v>0.0002608855364616702</v>
      </c>
      <c r="H27" s="48"/>
      <c r="I27" s="91"/>
      <c r="J27" s="91"/>
      <c r="K27" s="48">
        <v>386.52</v>
      </c>
      <c r="L27" s="48">
        <v>12915</v>
      </c>
      <c r="M27" s="76">
        <f t="shared" si="1"/>
        <v>29.927990708478514</v>
      </c>
    </row>
    <row r="28" spans="1:13" ht="12.75">
      <c r="A28" s="77" t="s">
        <v>13</v>
      </c>
      <c r="B28" s="58" t="s">
        <v>11</v>
      </c>
      <c r="C28" s="43">
        <v>205</v>
      </c>
      <c r="D28" s="78">
        <f>C28/C$115</f>
        <v>0.17154811715481172</v>
      </c>
      <c r="E28" s="247"/>
      <c r="F28" s="79">
        <f>C28/K28/1000</f>
        <v>0.0003487343494828525</v>
      </c>
      <c r="G28" s="247"/>
      <c r="H28" s="43">
        <v>178</v>
      </c>
      <c r="I28" s="80">
        <f>H28/H$115</f>
        <v>0.24316939890710382</v>
      </c>
      <c r="J28" s="246">
        <f>SUM(I28:I30)/3</f>
        <v>0.46582846715661325</v>
      </c>
      <c r="K28" s="43">
        <v>587.84</v>
      </c>
      <c r="L28" s="43">
        <v>12915</v>
      </c>
      <c r="M28" s="81">
        <f t="shared" si="1"/>
        <v>45.51606658923732</v>
      </c>
    </row>
    <row r="29" spans="1:13" ht="12.75">
      <c r="A29" s="77" t="s">
        <v>13</v>
      </c>
      <c r="B29" s="58" t="s">
        <v>21</v>
      </c>
      <c r="C29" s="63">
        <v>148</v>
      </c>
      <c r="D29" s="78">
        <f>C29/C$116</f>
        <v>0.10327983251919051</v>
      </c>
      <c r="E29" s="247"/>
      <c r="F29" s="79">
        <f>C29/K29/1000</f>
        <v>0.00014975058433082738</v>
      </c>
      <c r="G29" s="247"/>
      <c r="H29" s="63">
        <v>134</v>
      </c>
      <c r="I29" s="80">
        <f>H29/H$116</f>
        <v>0.44224422442244227</v>
      </c>
      <c r="J29" s="247"/>
      <c r="K29" s="43">
        <v>988.31</v>
      </c>
      <c r="L29" s="43">
        <v>12915</v>
      </c>
      <c r="M29" s="81">
        <f t="shared" si="1"/>
        <v>76.52419667053813</v>
      </c>
    </row>
    <row r="30" spans="1:13" ht="12.75">
      <c r="A30" s="77" t="s">
        <v>13</v>
      </c>
      <c r="B30" s="58" t="s">
        <v>22</v>
      </c>
      <c r="C30" s="63">
        <v>270</v>
      </c>
      <c r="D30" s="78">
        <f>C30/C$117</f>
        <v>0.11678200692041522</v>
      </c>
      <c r="E30" s="247"/>
      <c r="F30" s="79">
        <f>C30/K30/1000</f>
        <v>0.00019535065442469228</v>
      </c>
      <c r="G30" s="247"/>
      <c r="H30" s="43">
        <v>873</v>
      </c>
      <c r="I30" s="80">
        <f>H30/H$117</f>
        <v>0.7120717781402937</v>
      </c>
      <c r="J30" s="248"/>
      <c r="K30" s="43">
        <v>1382.13</v>
      </c>
      <c r="L30" s="43">
        <v>12915</v>
      </c>
      <c r="M30" s="81">
        <f t="shared" si="1"/>
        <v>107.01742160278745</v>
      </c>
    </row>
    <row r="31" spans="1:13" ht="12.75">
      <c r="A31" s="77" t="s">
        <v>13</v>
      </c>
      <c r="B31" s="58" t="s">
        <v>12</v>
      </c>
      <c r="C31" s="63">
        <f>11.2%*3692</f>
        <v>413.50399999999996</v>
      </c>
      <c r="D31" s="78">
        <f>C31/C$118</f>
        <v>0.12307692307692306</v>
      </c>
      <c r="E31" s="248"/>
      <c r="F31" s="79">
        <f>C31/K31/1000</f>
        <v>0.00023544979871656897</v>
      </c>
      <c r="G31" s="248"/>
      <c r="H31" s="43"/>
      <c r="I31" s="80"/>
      <c r="J31" s="80"/>
      <c r="K31" s="43">
        <v>1756.23</v>
      </c>
      <c r="L31" s="43">
        <v>12915</v>
      </c>
      <c r="M31" s="81">
        <f t="shared" si="1"/>
        <v>135.98373983739836</v>
      </c>
    </row>
    <row r="32" spans="1:13" ht="12.75">
      <c r="A32" s="77" t="s">
        <v>13</v>
      </c>
      <c r="B32" s="58" t="s">
        <v>30</v>
      </c>
      <c r="C32" s="63"/>
      <c r="D32" s="78"/>
      <c r="E32" s="78"/>
      <c r="F32" s="79"/>
      <c r="G32" s="79"/>
      <c r="H32" s="43"/>
      <c r="I32" s="80"/>
      <c r="J32" s="80"/>
      <c r="K32" s="43">
        <v>2352.9</v>
      </c>
      <c r="L32" s="43">
        <v>12915</v>
      </c>
      <c r="M32" s="81">
        <f t="shared" si="1"/>
        <v>182.1835075493612</v>
      </c>
    </row>
    <row r="33" spans="1:13" ht="13.5" thickBot="1">
      <c r="A33" s="93" t="s">
        <v>13</v>
      </c>
      <c r="B33" s="66">
        <v>2001</v>
      </c>
      <c r="C33" s="68"/>
      <c r="D33" s="94"/>
      <c r="E33" s="94"/>
      <c r="F33" s="95"/>
      <c r="G33" s="95"/>
      <c r="H33" s="46"/>
      <c r="I33" s="96"/>
      <c r="J33" s="96"/>
      <c r="K33" s="46">
        <v>2392.41</v>
      </c>
      <c r="L33" s="46">
        <v>12915</v>
      </c>
      <c r="M33" s="81">
        <f t="shared" si="1"/>
        <v>185.24274099883857</v>
      </c>
    </row>
    <row r="34" spans="1:20" ht="12.75">
      <c r="A34" s="72" t="s">
        <v>3</v>
      </c>
      <c r="B34" s="53" t="s">
        <v>10</v>
      </c>
      <c r="C34" s="48">
        <v>27</v>
      </c>
      <c r="D34" s="73">
        <f>C34/C$114</f>
        <v>0.03218116805721097</v>
      </c>
      <c r="E34" s="249">
        <f>SUM(C34:C38)/C$120</f>
        <v>0.03164770505938408</v>
      </c>
      <c r="F34" s="74">
        <f>C34/K34/1000</f>
        <v>0.0003023177695666778</v>
      </c>
      <c r="G34" s="249">
        <f>SUM(F34:F38)/5</f>
        <v>0.0002745653512045285</v>
      </c>
      <c r="H34" s="48"/>
      <c r="I34" s="91"/>
      <c r="J34" s="91"/>
      <c r="K34" s="48">
        <v>89.31</v>
      </c>
      <c r="L34" s="48">
        <v>5850</v>
      </c>
      <c r="M34" s="76">
        <f t="shared" si="1"/>
        <v>15.266666666666667</v>
      </c>
      <c r="T34" s="3">
        <v>1</v>
      </c>
    </row>
    <row r="35" spans="1:20" ht="12.75">
      <c r="A35" s="77" t="s">
        <v>3</v>
      </c>
      <c r="B35" s="58" t="s">
        <v>11</v>
      </c>
      <c r="C35" s="43">
        <v>79</v>
      </c>
      <c r="D35" s="78">
        <f>C35/C$115</f>
        <v>0.06610878661087866</v>
      </c>
      <c r="E35" s="247"/>
      <c r="F35" s="79">
        <f>C35/K35/1000</f>
        <v>0.0004917522564581388</v>
      </c>
      <c r="G35" s="247"/>
      <c r="H35" s="43">
        <v>24</v>
      </c>
      <c r="I35" s="80">
        <f>H35/H$115</f>
        <v>0.03278688524590164</v>
      </c>
      <c r="J35" s="246">
        <f>SUM(I35:I37)/3</f>
        <v>0.05776888228228594</v>
      </c>
      <c r="K35" s="43">
        <v>160.65</v>
      </c>
      <c r="L35" s="43">
        <v>5850</v>
      </c>
      <c r="M35" s="81">
        <f t="shared" si="1"/>
        <v>27.46153846153846</v>
      </c>
      <c r="T35" s="3">
        <v>1</v>
      </c>
    </row>
    <row r="36" spans="1:20" ht="12.75">
      <c r="A36" s="77" t="s">
        <v>3</v>
      </c>
      <c r="B36" s="58" t="s">
        <v>21</v>
      </c>
      <c r="C36" s="63">
        <v>65</v>
      </c>
      <c r="D36" s="78">
        <f>C36/C$116</f>
        <v>0.045359385903698535</v>
      </c>
      <c r="E36" s="247"/>
      <c r="F36" s="79">
        <f>C36/K36/1000</f>
        <v>0.0002475624619134674</v>
      </c>
      <c r="G36" s="247"/>
      <c r="H36" s="97">
        <v>6</v>
      </c>
      <c r="I36" s="80">
        <f>H36/H$116</f>
        <v>0.019801980198019802</v>
      </c>
      <c r="J36" s="247"/>
      <c r="K36" s="43">
        <v>262.56</v>
      </c>
      <c r="L36" s="43">
        <v>5850</v>
      </c>
      <c r="M36" s="81">
        <f t="shared" si="1"/>
        <v>44.88205128205128</v>
      </c>
      <c r="T36" s="3">
        <v>1</v>
      </c>
    </row>
    <row r="37" spans="1:20" ht="12.75">
      <c r="A37" s="77" t="s">
        <v>3</v>
      </c>
      <c r="B37" s="58" t="s">
        <v>22</v>
      </c>
      <c r="C37" s="63">
        <v>27</v>
      </c>
      <c r="D37" s="78">
        <f>C37/C$117</f>
        <v>0.011678200692041523</v>
      </c>
      <c r="E37" s="247"/>
      <c r="F37" s="79">
        <f>C37/K37/1000</f>
        <v>8.062830352076926E-05</v>
      </c>
      <c r="G37" s="247"/>
      <c r="H37" s="43">
        <v>148</v>
      </c>
      <c r="I37" s="80">
        <f>H37/H$117</f>
        <v>0.12071778140293637</v>
      </c>
      <c r="J37" s="248"/>
      <c r="K37" s="43">
        <v>334.87</v>
      </c>
      <c r="L37" s="43">
        <v>5850</v>
      </c>
      <c r="M37" s="81">
        <f t="shared" si="1"/>
        <v>57.24273504273504</v>
      </c>
      <c r="T37" s="3">
        <v>1</v>
      </c>
    </row>
    <row r="38" spans="1:20" ht="12.75">
      <c r="A38" s="98" t="s">
        <v>3</v>
      </c>
      <c r="B38" s="58" t="s">
        <v>12</v>
      </c>
      <c r="C38" s="63">
        <f>2.8%*3692</f>
        <v>103.37599999999999</v>
      </c>
      <c r="D38" s="78">
        <f>C38/C$118</f>
        <v>0.030769230769230764</v>
      </c>
      <c r="E38" s="248"/>
      <c r="F38" s="79">
        <f>C38/K38/1000</f>
        <v>0.0002505659645635892</v>
      </c>
      <c r="G38" s="248"/>
      <c r="H38" s="43"/>
      <c r="I38" s="80"/>
      <c r="J38" s="80"/>
      <c r="K38" s="43">
        <v>412.57</v>
      </c>
      <c r="L38" s="43">
        <v>5850</v>
      </c>
      <c r="M38" s="81">
        <f t="shared" si="1"/>
        <v>70.52478632478632</v>
      </c>
      <c r="T38" s="3">
        <v>1</v>
      </c>
    </row>
    <row r="39" spans="1:20" ht="12.75">
      <c r="A39" s="98" t="s">
        <v>3</v>
      </c>
      <c r="B39" s="58" t="s">
        <v>30</v>
      </c>
      <c r="C39" s="63"/>
      <c r="D39" s="78"/>
      <c r="E39" s="78"/>
      <c r="F39" s="79"/>
      <c r="G39" s="79"/>
      <c r="H39" s="43"/>
      <c r="I39" s="80"/>
      <c r="J39" s="80"/>
      <c r="K39" s="43">
        <v>536.3</v>
      </c>
      <c r="L39" s="43">
        <v>5850</v>
      </c>
      <c r="M39" s="81">
        <f t="shared" si="1"/>
        <v>91.67521367521367</v>
      </c>
      <c r="T39" s="3">
        <v>1</v>
      </c>
    </row>
    <row r="40" spans="1:20" ht="13.5" thickBot="1">
      <c r="A40" s="99" t="s">
        <v>3</v>
      </c>
      <c r="B40" s="84">
        <v>2001</v>
      </c>
      <c r="C40" s="85"/>
      <c r="D40" s="86"/>
      <c r="E40" s="86"/>
      <c r="F40" s="87"/>
      <c r="G40" s="87"/>
      <c r="H40" s="88"/>
      <c r="I40" s="89"/>
      <c r="J40" s="89"/>
      <c r="K40" s="88">
        <v>515.66</v>
      </c>
      <c r="L40" s="88">
        <v>5850</v>
      </c>
      <c r="M40" s="90">
        <f t="shared" si="1"/>
        <v>88.14700854700854</v>
      </c>
      <c r="T40" s="3">
        <v>1</v>
      </c>
    </row>
    <row r="41" spans="1:13" ht="12.75">
      <c r="A41" s="72" t="s">
        <v>4</v>
      </c>
      <c r="B41" s="53" t="s">
        <v>10</v>
      </c>
      <c r="C41" s="48">
        <v>23</v>
      </c>
      <c r="D41" s="73">
        <f>C41/C$114</f>
        <v>0.027413587604290822</v>
      </c>
      <c r="E41" s="249">
        <f>SUM(C41:C45)/C$120</f>
        <v>0.0232955739354619</v>
      </c>
      <c r="F41" s="74">
        <f>C41/K41/1000</f>
        <v>0.0001054417090725714</v>
      </c>
      <c r="G41" s="252">
        <f>SUM(F41:F45)/5</f>
        <v>0.00014120727874284442</v>
      </c>
      <c r="H41" s="48"/>
      <c r="I41" s="91"/>
      <c r="J41" s="92"/>
      <c r="K41" s="48">
        <v>218.13</v>
      </c>
      <c r="L41" s="48">
        <v>6569</v>
      </c>
      <c r="M41" s="76">
        <f t="shared" si="1"/>
        <v>33.205967422743186</v>
      </c>
    </row>
    <row r="42" spans="1:13" ht="12.75">
      <c r="A42" s="77" t="s">
        <v>4</v>
      </c>
      <c r="B42" s="58" t="s">
        <v>11</v>
      </c>
      <c r="C42" s="43">
        <v>26</v>
      </c>
      <c r="D42" s="78">
        <f>C42/C$115</f>
        <v>0.021757322175732216</v>
      </c>
      <c r="E42" s="247"/>
      <c r="F42" s="79">
        <f>C42/K42/1000</f>
        <v>9.174959418448726E-05</v>
      </c>
      <c r="G42" s="253"/>
      <c r="H42" s="60">
        <v>7</v>
      </c>
      <c r="I42" s="80">
        <f>H42/H$115</f>
        <v>0.009562841530054645</v>
      </c>
      <c r="J42" s="246">
        <f>SUM(I42:I44)/3</f>
        <v>0.013803765181160695</v>
      </c>
      <c r="K42" s="43">
        <v>283.38</v>
      </c>
      <c r="L42" s="43">
        <v>6569</v>
      </c>
      <c r="M42" s="81">
        <f t="shared" si="1"/>
        <v>43.13898614705435</v>
      </c>
    </row>
    <row r="43" spans="1:13" ht="12.75">
      <c r="A43" s="77" t="s">
        <v>4</v>
      </c>
      <c r="B43" s="58" t="s">
        <v>21</v>
      </c>
      <c r="C43" s="63">
        <v>38</v>
      </c>
      <c r="D43" s="78">
        <f>C43/C$116</f>
        <v>0.026517794836008374</v>
      </c>
      <c r="E43" s="247"/>
      <c r="F43" s="79">
        <f>C43/K43/1000</f>
        <v>0.00012486855941114616</v>
      </c>
      <c r="G43" s="253"/>
      <c r="H43" s="97">
        <v>1</v>
      </c>
      <c r="I43" s="80">
        <f>H43/H$116</f>
        <v>0.0033003300330033004</v>
      </c>
      <c r="J43" s="247"/>
      <c r="K43" s="43">
        <v>304.32</v>
      </c>
      <c r="L43" s="43">
        <v>6569</v>
      </c>
      <c r="M43" s="81">
        <f t="shared" si="1"/>
        <v>46.32668594915512</v>
      </c>
    </row>
    <row r="44" spans="1:13" ht="12.75">
      <c r="A44" s="77" t="s">
        <v>4</v>
      </c>
      <c r="B44" s="58" t="s">
        <v>22</v>
      </c>
      <c r="C44" s="63">
        <v>61</v>
      </c>
      <c r="D44" s="78">
        <f>C44/C$117</f>
        <v>0.026384083044982697</v>
      </c>
      <c r="E44" s="247"/>
      <c r="F44" s="79">
        <f>C44/K44/1000</f>
        <v>0.00018258006584854832</v>
      </c>
      <c r="G44" s="253"/>
      <c r="H44" s="60">
        <v>35</v>
      </c>
      <c r="I44" s="80">
        <f>H44/H$117</f>
        <v>0.028548123980424143</v>
      </c>
      <c r="J44" s="248"/>
      <c r="K44" s="43">
        <v>334.1</v>
      </c>
      <c r="L44" s="43">
        <v>6569</v>
      </c>
      <c r="M44" s="81">
        <f t="shared" si="1"/>
        <v>50.86010047191353</v>
      </c>
    </row>
    <row r="45" spans="1:13" ht="12.75">
      <c r="A45" s="77" t="s">
        <v>4</v>
      </c>
      <c r="B45" s="58" t="s">
        <v>12</v>
      </c>
      <c r="C45" s="63">
        <f>2%*3692</f>
        <v>73.84</v>
      </c>
      <c r="D45" s="78">
        <f>C45/C$118</f>
        <v>0.021978021978021976</v>
      </c>
      <c r="E45" s="248"/>
      <c r="F45" s="79">
        <f>C45/K45/1000</f>
        <v>0.00020139646519746893</v>
      </c>
      <c r="G45" s="254"/>
      <c r="H45" s="43"/>
      <c r="I45" s="80"/>
      <c r="J45" s="80"/>
      <c r="K45" s="43">
        <v>366.64</v>
      </c>
      <c r="L45" s="43">
        <v>6569</v>
      </c>
      <c r="M45" s="81">
        <f aca="true" t="shared" si="2" ref="M45:M78">K45*1000/L45</f>
        <v>55.81367026944741</v>
      </c>
    </row>
    <row r="46" spans="1:13" ht="12.75">
      <c r="A46" s="77" t="s">
        <v>4</v>
      </c>
      <c r="B46" s="58" t="s">
        <v>30</v>
      </c>
      <c r="C46" s="63"/>
      <c r="D46" s="78"/>
      <c r="E46" s="78"/>
      <c r="F46" s="79"/>
      <c r="G46" s="79"/>
      <c r="H46" s="43"/>
      <c r="I46" s="80"/>
      <c r="J46" s="80"/>
      <c r="K46" s="43">
        <v>417.8</v>
      </c>
      <c r="L46" s="43">
        <v>6569</v>
      </c>
      <c r="M46" s="81">
        <f t="shared" si="2"/>
        <v>63.60176586999543</v>
      </c>
    </row>
    <row r="47" spans="1:13" ht="13.5" thickBot="1">
      <c r="A47" s="93" t="s">
        <v>4</v>
      </c>
      <c r="B47" s="66">
        <v>2001</v>
      </c>
      <c r="C47" s="68"/>
      <c r="D47" s="94"/>
      <c r="E47" s="94"/>
      <c r="F47" s="95"/>
      <c r="G47" s="95"/>
      <c r="H47" s="46"/>
      <c r="I47" s="96"/>
      <c r="J47" s="96"/>
      <c r="K47" s="100">
        <v>403.19</v>
      </c>
      <c r="L47" s="46">
        <v>6569</v>
      </c>
      <c r="M47" s="81">
        <f t="shared" si="2"/>
        <v>61.377683056781855</v>
      </c>
    </row>
    <row r="48" spans="1:13" s="51" customFormat="1" ht="66" customHeight="1">
      <c r="A48" s="255" t="s">
        <v>226</v>
      </c>
      <c r="B48" s="256"/>
      <c r="C48" s="9" t="s">
        <v>227</v>
      </c>
      <c r="D48" s="9" t="s">
        <v>134</v>
      </c>
      <c r="E48" s="9" t="s">
        <v>134</v>
      </c>
      <c r="F48" s="9" t="s">
        <v>135</v>
      </c>
      <c r="G48" s="9" t="s">
        <v>71</v>
      </c>
      <c r="H48" s="9" t="s">
        <v>236</v>
      </c>
      <c r="I48" s="9" t="s">
        <v>136</v>
      </c>
      <c r="J48" s="9" t="s">
        <v>137</v>
      </c>
      <c r="K48" s="9" t="s">
        <v>239</v>
      </c>
      <c r="L48" s="9" t="s">
        <v>241</v>
      </c>
      <c r="M48" s="15" t="s">
        <v>243</v>
      </c>
    </row>
    <row r="49" spans="1:13" s="51" customFormat="1" ht="45.75" thickBot="1">
      <c r="A49" s="5" t="s">
        <v>62</v>
      </c>
      <c r="B49" s="6" t="s">
        <v>63</v>
      </c>
      <c r="C49" s="6" t="s">
        <v>64</v>
      </c>
      <c r="D49" s="6" t="s">
        <v>65</v>
      </c>
      <c r="E49" s="6" t="s">
        <v>66</v>
      </c>
      <c r="F49" s="6" t="s">
        <v>67</v>
      </c>
      <c r="G49" s="6" t="s">
        <v>68</v>
      </c>
      <c r="H49" s="6" t="s">
        <v>69</v>
      </c>
      <c r="I49" s="6" t="s">
        <v>69</v>
      </c>
      <c r="J49" s="6" t="s">
        <v>70</v>
      </c>
      <c r="K49" s="6" t="s">
        <v>72</v>
      </c>
      <c r="L49" s="6" t="s">
        <v>138</v>
      </c>
      <c r="M49" s="8" t="s">
        <v>139</v>
      </c>
    </row>
    <row r="50" spans="1:20" ht="12.75">
      <c r="A50" s="72" t="s">
        <v>14</v>
      </c>
      <c r="B50" s="53" t="s">
        <v>10</v>
      </c>
      <c r="C50" s="48">
        <v>20</v>
      </c>
      <c r="D50" s="73">
        <f>C50/C$114</f>
        <v>0.023837902264600714</v>
      </c>
      <c r="E50" s="249">
        <f>SUM(C50:C54)/C$120</f>
        <v>0.07339197900962098</v>
      </c>
      <c r="F50" s="74">
        <f>C50/K50/1000</f>
        <v>4.9828093078877875E-05</v>
      </c>
      <c r="G50" s="252">
        <f>SUM(F50:F54)/5</f>
        <v>0.00016151827183775368</v>
      </c>
      <c r="H50" s="48"/>
      <c r="I50" s="91"/>
      <c r="J50" s="92"/>
      <c r="K50" s="48">
        <v>401.38</v>
      </c>
      <c r="L50" s="48">
        <v>18879</v>
      </c>
      <c r="M50" s="76">
        <f t="shared" si="2"/>
        <v>21.260659992584355</v>
      </c>
      <c r="P50" s="50"/>
      <c r="T50" s="3">
        <v>1</v>
      </c>
    </row>
    <row r="51" spans="1:20" ht="12.75">
      <c r="A51" s="77" t="s">
        <v>14</v>
      </c>
      <c r="B51" s="58" t="s">
        <v>11</v>
      </c>
      <c r="C51" s="43">
        <v>57</v>
      </c>
      <c r="D51" s="78">
        <f>C51/C$115</f>
        <v>0.04769874476987448</v>
      </c>
      <c r="E51" s="247"/>
      <c r="F51" s="79">
        <f>C51/K51/1000</f>
        <v>9.313116789752305E-05</v>
      </c>
      <c r="G51" s="253"/>
      <c r="H51" s="43">
        <v>19</v>
      </c>
      <c r="I51" s="80">
        <f>H51/H$115</f>
        <v>0.025956284153005466</v>
      </c>
      <c r="J51" s="246">
        <f>SUM(I51:I53)/3</f>
        <v>0.025768406675128513</v>
      </c>
      <c r="K51" s="43">
        <v>612.04</v>
      </c>
      <c r="L51" s="43">
        <v>18879</v>
      </c>
      <c r="M51" s="81">
        <f t="shared" si="2"/>
        <v>32.41908999417342</v>
      </c>
      <c r="T51" s="3">
        <v>1</v>
      </c>
    </row>
    <row r="52" spans="1:20" ht="12.75">
      <c r="A52" s="77" t="s">
        <v>14</v>
      </c>
      <c r="B52" s="58" t="s">
        <v>21</v>
      </c>
      <c r="C52" s="63">
        <v>132</v>
      </c>
      <c r="D52" s="78">
        <f>C52/C$116</f>
        <v>0.09211444521981857</v>
      </c>
      <c r="E52" s="247"/>
      <c r="F52" s="79">
        <f>C52/K52/1000</f>
        <v>0.00016137511155665853</v>
      </c>
      <c r="G52" s="253"/>
      <c r="H52" s="97">
        <v>-1</v>
      </c>
      <c r="I52" s="80">
        <f>H52/H$116</f>
        <v>-0.0033003300330033004</v>
      </c>
      <c r="J52" s="247"/>
      <c r="K52" s="43">
        <v>817.97</v>
      </c>
      <c r="L52" s="43">
        <v>18879</v>
      </c>
      <c r="M52" s="81">
        <f t="shared" si="2"/>
        <v>43.32697706446316</v>
      </c>
      <c r="T52" s="3">
        <v>1</v>
      </c>
    </row>
    <row r="53" spans="1:20" ht="12.75">
      <c r="A53" s="77" t="s">
        <v>14</v>
      </c>
      <c r="B53" s="58" t="s">
        <v>22</v>
      </c>
      <c r="C53" s="63">
        <v>213</v>
      </c>
      <c r="D53" s="78">
        <f>C53/C$117</f>
        <v>0.0921280276816609</v>
      </c>
      <c r="E53" s="247"/>
      <c r="F53" s="79">
        <f>C53/K53/1000</f>
        <v>0.00023492405225240327</v>
      </c>
      <c r="G53" s="253"/>
      <c r="H53" s="43">
        <v>67</v>
      </c>
      <c r="I53" s="80">
        <f>H53/H$117</f>
        <v>0.05464926590538336</v>
      </c>
      <c r="J53" s="248"/>
      <c r="K53" s="82">
        <v>906.676</v>
      </c>
      <c r="L53" s="43">
        <v>18879</v>
      </c>
      <c r="M53" s="81">
        <f t="shared" si="2"/>
        <v>48.025636951109696</v>
      </c>
      <c r="P53" s="50"/>
      <c r="T53" s="3">
        <v>1</v>
      </c>
    </row>
    <row r="54" spans="1:20" ht="12.75">
      <c r="A54" s="83" t="s">
        <v>14</v>
      </c>
      <c r="B54" s="84" t="s">
        <v>12</v>
      </c>
      <c r="C54" s="85">
        <f>7.5%*3692</f>
        <v>276.9</v>
      </c>
      <c r="D54" s="86">
        <f>C54/C$118</f>
        <v>0.0824175824175824</v>
      </c>
      <c r="E54" s="247"/>
      <c r="F54" s="87">
        <f>C54/K54/1000</f>
        <v>0.0002683329344033057</v>
      </c>
      <c r="G54" s="254"/>
      <c r="H54" s="88"/>
      <c r="I54" s="89"/>
      <c r="J54" s="89"/>
      <c r="K54" s="101">
        <v>1031.927</v>
      </c>
      <c r="L54" s="88">
        <v>18879</v>
      </c>
      <c r="M54" s="90">
        <f t="shared" si="2"/>
        <v>54.66004555326023</v>
      </c>
      <c r="T54" s="3">
        <v>1</v>
      </c>
    </row>
    <row r="55" spans="1:20" ht="12.75">
      <c r="A55" s="77" t="s">
        <v>14</v>
      </c>
      <c r="B55" s="58" t="s">
        <v>30</v>
      </c>
      <c r="C55" s="63"/>
      <c r="D55" s="78"/>
      <c r="E55" s="78"/>
      <c r="F55" s="79"/>
      <c r="G55" s="79"/>
      <c r="H55" s="43"/>
      <c r="I55" s="80"/>
      <c r="J55" s="80"/>
      <c r="K55" s="43">
        <v>1230.1</v>
      </c>
      <c r="L55" s="43">
        <v>18879</v>
      </c>
      <c r="M55" s="90">
        <f t="shared" si="2"/>
        <v>65.15705281000054</v>
      </c>
      <c r="T55" s="3">
        <v>1</v>
      </c>
    </row>
    <row r="56" spans="1:20" ht="13.5" thickBot="1">
      <c r="A56" s="102" t="s">
        <v>14</v>
      </c>
      <c r="B56" s="103">
        <v>2001</v>
      </c>
      <c r="C56" s="104"/>
      <c r="D56" s="105"/>
      <c r="E56" s="105"/>
      <c r="F56" s="106"/>
      <c r="G56" s="106"/>
      <c r="H56" s="107"/>
      <c r="I56" s="108"/>
      <c r="J56" s="108"/>
      <c r="K56" s="107">
        <v>1180.37</v>
      </c>
      <c r="L56" s="107">
        <v>18879</v>
      </c>
      <c r="M56" s="90">
        <f t="shared" si="2"/>
        <v>62.52290905238625</v>
      </c>
      <c r="T56" s="3">
        <v>1</v>
      </c>
    </row>
    <row r="57" spans="1:13" ht="12.75">
      <c r="A57" s="72" t="s">
        <v>5</v>
      </c>
      <c r="B57" s="53" t="s">
        <v>10</v>
      </c>
      <c r="C57" s="48">
        <v>17</v>
      </c>
      <c r="D57" s="73">
        <f>C57/C$114</f>
        <v>0.02026221692491061</v>
      </c>
      <c r="E57" s="249">
        <f>SUM(C57:C61)/C$120</f>
        <v>0.016857577871472997</v>
      </c>
      <c r="F57" s="74">
        <f>C57/K57/1000</f>
        <v>0.00010265700483091787</v>
      </c>
      <c r="G57" s="249">
        <f>SUM(F57:F61)/4</f>
        <v>0.00015547530746996274</v>
      </c>
      <c r="H57" s="48"/>
      <c r="I57" s="91"/>
      <c r="J57" s="91"/>
      <c r="K57" s="109">
        <v>165.6</v>
      </c>
      <c r="L57" s="48">
        <v>6072</v>
      </c>
      <c r="M57" s="76">
        <f t="shared" si="2"/>
        <v>27.272727272727273</v>
      </c>
    </row>
    <row r="58" spans="1:13" ht="12.75">
      <c r="A58" s="77" t="s">
        <v>5</v>
      </c>
      <c r="B58" s="58" t="s">
        <v>11</v>
      </c>
      <c r="C58" s="43"/>
      <c r="D58" s="78"/>
      <c r="E58" s="247"/>
      <c r="F58" s="79">
        <f>C58/K58/1000</f>
        <v>0</v>
      </c>
      <c r="G58" s="247"/>
      <c r="H58" s="43">
        <v>13</v>
      </c>
      <c r="I58" s="80">
        <f>H58/H$115</f>
        <v>0.017759562841530054</v>
      </c>
      <c r="J58" s="246">
        <f>SUM(I58:I60)/3</f>
        <v>0.007772812822693763</v>
      </c>
      <c r="K58" s="43">
        <v>192.63</v>
      </c>
      <c r="L58" s="43">
        <v>6072</v>
      </c>
      <c r="M58" s="81">
        <f t="shared" si="2"/>
        <v>31.724308300395258</v>
      </c>
    </row>
    <row r="59" spans="1:13" ht="12.75">
      <c r="A59" s="77" t="s">
        <v>5</v>
      </c>
      <c r="B59" s="58" t="s">
        <v>21</v>
      </c>
      <c r="C59" s="63">
        <v>18</v>
      </c>
      <c r="D59" s="78">
        <f>C59/C$116</f>
        <v>0.01256106071179344</v>
      </c>
      <c r="E59" s="247"/>
      <c r="F59" s="79">
        <f>C59/K59/1000</f>
        <v>7.617113114129745E-05</v>
      </c>
      <c r="G59" s="247"/>
      <c r="H59" s="97">
        <v>-4</v>
      </c>
      <c r="I59" s="80">
        <f>H59/H$116</f>
        <v>-0.013201320132013201</v>
      </c>
      <c r="J59" s="247"/>
      <c r="K59" s="43">
        <v>236.31</v>
      </c>
      <c r="L59" s="43">
        <v>6072</v>
      </c>
      <c r="M59" s="81">
        <f t="shared" si="2"/>
        <v>38.91798418972332</v>
      </c>
    </row>
    <row r="60" spans="1:13" ht="12.75">
      <c r="A60" s="77" t="s">
        <v>5</v>
      </c>
      <c r="B60" s="58" t="s">
        <v>22</v>
      </c>
      <c r="C60" s="63">
        <v>48</v>
      </c>
      <c r="D60" s="78">
        <f>C60/C$117</f>
        <v>0.020761245674740483</v>
      </c>
      <c r="E60" s="247"/>
      <c r="F60" s="79">
        <f>C60/K60/1000</f>
        <v>0.00017286084701815038</v>
      </c>
      <c r="G60" s="247"/>
      <c r="H60" s="43">
        <v>23</v>
      </c>
      <c r="I60" s="80">
        <f>H60/H$117</f>
        <v>0.018760195758564437</v>
      </c>
      <c r="J60" s="248"/>
      <c r="K60" s="43">
        <v>277.68</v>
      </c>
      <c r="L60" s="43">
        <v>6072</v>
      </c>
      <c r="M60" s="81">
        <f t="shared" si="2"/>
        <v>45.73122529644269</v>
      </c>
    </row>
    <row r="61" spans="1:13" ht="12.75">
      <c r="A61" s="77" t="s">
        <v>5</v>
      </c>
      <c r="B61" s="58" t="s">
        <v>12</v>
      </c>
      <c r="C61" s="63">
        <f>2.1%*3692</f>
        <v>77.53200000000001</v>
      </c>
      <c r="D61" s="78">
        <f>C61/C$118</f>
        <v>0.023076923076923078</v>
      </c>
      <c r="E61" s="247"/>
      <c r="F61" s="79">
        <f>C61/K61/1000</f>
        <v>0.00027021224688948524</v>
      </c>
      <c r="G61" s="247"/>
      <c r="H61" s="43"/>
      <c r="I61" s="80"/>
      <c r="J61" s="80"/>
      <c r="K61" s="43">
        <v>286.93</v>
      </c>
      <c r="L61" s="43">
        <v>6072</v>
      </c>
      <c r="M61" s="81">
        <f t="shared" si="2"/>
        <v>47.25461133069829</v>
      </c>
    </row>
    <row r="62" spans="1:13" ht="12.75">
      <c r="A62" s="77" t="s">
        <v>5</v>
      </c>
      <c r="B62" s="58" t="s">
        <v>30</v>
      </c>
      <c r="C62" s="63"/>
      <c r="D62" s="78"/>
      <c r="E62" s="78"/>
      <c r="F62" s="79"/>
      <c r="G62" s="79"/>
      <c r="H62" s="43"/>
      <c r="I62" s="80"/>
      <c r="J62" s="80"/>
      <c r="K62" s="43">
        <v>300.8</v>
      </c>
      <c r="L62" s="43">
        <v>6072</v>
      </c>
      <c r="M62" s="81">
        <f t="shared" si="2"/>
        <v>49.53886693017128</v>
      </c>
    </row>
    <row r="63" spans="1:13" ht="13.5" thickBot="1">
      <c r="A63" s="93" t="s">
        <v>5</v>
      </c>
      <c r="B63" s="66">
        <v>2001</v>
      </c>
      <c r="C63" s="68"/>
      <c r="D63" s="94"/>
      <c r="E63" s="94"/>
      <c r="F63" s="95"/>
      <c r="G63" s="95"/>
      <c r="H63" s="46"/>
      <c r="I63" s="96"/>
      <c r="J63" s="96"/>
      <c r="K63" s="46">
        <v>350.45</v>
      </c>
      <c r="L63" s="46">
        <v>6072</v>
      </c>
      <c r="M63" s="81">
        <f t="shared" si="2"/>
        <v>57.71574440052701</v>
      </c>
    </row>
    <row r="64" spans="1:20" ht="12.75">
      <c r="A64" s="72" t="s">
        <v>16</v>
      </c>
      <c r="B64" s="53" t="s">
        <v>10</v>
      </c>
      <c r="C64" s="110"/>
      <c r="D64" s="73"/>
      <c r="E64" s="249">
        <f>SUM(C64:C68)/C$120</f>
        <v>0.033642488337774064</v>
      </c>
      <c r="F64" s="74">
        <f>C64/K64/1000</f>
        <v>0</v>
      </c>
      <c r="G64" s="249">
        <f>SUM(F64:F68)/4</f>
        <v>0.00032627042927933667</v>
      </c>
      <c r="H64" s="48"/>
      <c r="I64" s="91"/>
      <c r="J64" s="91"/>
      <c r="K64" s="48">
        <v>75.41</v>
      </c>
      <c r="L64" s="48">
        <v>15239</v>
      </c>
      <c r="M64" s="76">
        <f t="shared" si="2"/>
        <v>4.948487433558633</v>
      </c>
      <c r="T64" s="3">
        <v>1</v>
      </c>
    </row>
    <row r="65" spans="1:20" ht="12.75">
      <c r="A65" s="77" t="s">
        <v>16</v>
      </c>
      <c r="B65" s="58" t="s">
        <v>11</v>
      </c>
      <c r="C65" s="63">
        <v>24</v>
      </c>
      <c r="D65" s="78">
        <f>C65/C$115</f>
        <v>0.0200836820083682</v>
      </c>
      <c r="E65" s="247"/>
      <c r="F65" s="79">
        <f>C65/K65/1000</f>
        <v>0.00019218449711723253</v>
      </c>
      <c r="G65" s="247"/>
      <c r="H65" s="43">
        <v>7</v>
      </c>
      <c r="I65" s="80">
        <f>H65/H$115</f>
        <v>0.009562841530054645</v>
      </c>
      <c r="J65" s="246">
        <f>SUM(I65:I67)/3</f>
        <v>0.031564350375079764</v>
      </c>
      <c r="K65" s="43">
        <v>124.88</v>
      </c>
      <c r="L65" s="43">
        <v>15239</v>
      </c>
      <c r="M65" s="81">
        <f t="shared" si="2"/>
        <v>8.194763435920992</v>
      </c>
      <c r="T65" s="3">
        <v>1</v>
      </c>
    </row>
    <row r="66" spans="1:20" ht="12.75">
      <c r="A66" s="77" t="s">
        <v>16</v>
      </c>
      <c r="B66" s="58" t="s">
        <v>21</v>
      </c>
      <c r="C66" s="63">
        <v>41</v>
      </c>
      <c r="D66" s="78">
        <f>C66/C$116</f>
        <v>0.028611304954640614</v>
      </c>
      <c r="E66" s="247"/>
      <c r="F66" s="79">
        <f>C66/K66/1000</f>
        <v>0.00020182131429977848</v>
      </c>
      <c r="G66" s="247"/>
      <c r="H66" s="97">
        <v>8</v>
      </c>
      <c r="I66" s="80">
        <f>H66/H$116</f>
        <v>0.026402640264026403</v>
      </c>
      <c r="J66" s="247"/>
      <c r="K66" s="43">
        <v>203.15</v>
      </c>
      <c r="L66" s="43">
        <v>15239</v>
      </c>
      <c r="M66" s="81">
        <f t="shared" si="2"/>
        <v>13.330927226195945</v>
      </c>
      <c r="T66" s="3">
        <v>1</v>
      </c>
    </row>
    <row r="67" spans="1:20" ht="12.75">
      <c r="A67" s="77" t="s">
        <v>16</v>
      </c>
      <c r="B67" s="58" t="s">
        <v>22</v>
      </c>
      <c r="C67" s="63">
        <v>104</v>
      </c>
      <c r="D67" s="78">
        <f>C67/C$117</f>
        <v>0.04498269896193772</v>
      </c>
      <c r="E67" s="247"/>
      <c r="F67" s="79">
        <f>C67/K67/1000</f>
        <v>0.00041765390948154697</v>
      </c>
      <c r="G67" s="247"/>
      <c r="H67" s="43">
        <v>72</v>
      </c>
      <c r="I67" s="80">
        <f>H67/H$117</f>
        <v>0.05872756933115824</v>
      </c>
      <c r="J67" s="248"/>
      <c r="K67" s="43">
        <v>249.01</v>
      </c>
      <c r="L67" s="43">
        <v>15239</v>
      </c>
      <c r="M67" s="81">
        <f t="shared" si="2"/>
        <v>16.34031104403176</v>
      </c>
      <c r="T67" s="3">
        <v>1</v>
      </c>
    </row>
    <row r="68" spans="1:20" ht="12.75">
      <c r="A68" s="77" t="s">
        <v>16</v>
      </c>
      <c r="B68" s="58" t="s">
        <v>12</v>
      </c>
      <c r="C68" s="63">
        <f>4.1%*3692</f>
        <v>151.37199999999999</v>
      </c>
      <c r="D68" s="78">
        <f>C68/C$118</f>
        <v>0.04505494505494505</v>
      </c>
      <c r="E68" s="247"/>
      <c r="F68" s="79">
        <f>C68/K68/1000</f>
        <v>0.0004934219962187886</v>
      </c>
      <c r="G68" s="247"/>
      <c r="H68" s="43"/>
      <c r="I68" s="80"/>
      <c r="J68" s="80"/>
      <c r="K68" s="43">
        <v>306.78</v>
      </c>
      <c r="L68" s="43">
        <v>15239</v>
      </c>
      <c r="M68" s="81">
        <f t="shared" si="2"/>
        <v>20.13124220749393</v>
      </c>
      <c r="T68" s="3">
        <v>1</v>
      </c>
    </row>
    <row r="69" spans="1:20" ht="12.75">
      <c r="A69" s="77" t="s">
        <v>16</v>
      </c>
      <c r="B69" s="58" t="s">
        <v>30</v>
      </c>
      <c r="C69" s="63"/>
      <c r="D69" s="78"/>
      <c r="E69" s="78"/>
      <c r="F69" s="79"/>
      <c r="G69" s="79"/>
      <c r="H69" s="43"/>
      <c r="I69" s="80"/>
      <c r="J69" s="80"/>
      <c r="K69" s="43">
        <v>398.8</v>
      </c>
      <c r="L69" s="43">
        <v>15239</v>
      </c>
      <c r="M69" s="81">
        <f t="shared" si="2"/>
        <v>26.16969617428965</v>
      </c>
      <c r="T69" s="3">
        <v>1</v>
      </c>
    </row>
    <row r="70" spans="1:20" ht="13.5" thickBot="1">
      <c r="A70" s="83" t="s">
        <v>16</v>
      </c>
      <c r="B70" s="84">
        <v>2001</v>
      </c>
      <c r="C70" s="85"/>
      <c r="D70" s="86"/>
      <c r="E70" s="86"/>
      <c r="F70" s="87"/>
      <c r="G70" s="87"/>
      <c r="H70" s="88"/>
      <c r="I70" s="89"/>
      <c r="J70" s="89"/>
      <c r="K70" s="88">
        <v>386.32</v>
      </c>
      <c r="L70" s="88">
        <v>15239</v>
      </c>
      <c r="M70" s="90">
        <f t="shared" si="2"/>
        <v>25.35074479952753</v>
      </c>
      <c r="T70" s="3">
        <v>1</v>
      </c>
    </row>
    <row r="71" spans="1:13" ht="12.75">
      <c r="A71" s="72" t="s">
        <v>17</v>
      </c>
      <c r="B71" s="53" t="s">
        <v>10</v>
      </c>
      <c r="C71" s="110"/>
      <c r="D71" s="73"/>
      <c r="E71" s="249">
        <f>SUM(C71:C75)/C$120</f>
        <v>0.029240439747012424</v>
      </c>
      <c r="F71" s="74">
        <f>C71/K71/1000</f>
        <v>0</v>
      </c>
      <c r="G71" s="249">
        <f>SUM(F71:F75)/4</f>
        <v>0.00015699084283071283</v>
      </c>
      <c r="H71" s="48"/>
      <c r="I71" s="91"/>
      <c r="J71" s="91"/>
      <c r="K71" s="48">
        <v>150.26</v>
      </c>
      <c r="L71" s="48">
        <v>7175</v>
      </c>
      <c r="M71" s="76">
        <f t="shared" si="2"/>
        <v>20.942160278745643</v>
      </c>
    </row>
    <row r="72" spans="1:13" ht="12.75">
      <c r="A72" s="77" t="s">
        <v>17</v>
      </c>
      <c r="B72" s="58" t="s">
        <v>11</v>
      </c>
      <c r="C72" s="63">
        <v>23</v>
      </c>
      <c r="D72" s="78">
        <f>C72/C$115</f>
        <v>0.019246861924686193</v>
      </c>
      <c r="E72" s="247"/>
      <c r="F72" s="79">
        <f>C72/K72/1000</f>
        <v>9.177240443699625E-05</v>
      </c>
      <c r="G72" s="247"/>
      <c r="H72" s="43">
        <v>4</v>
      </c>
      <c r="I72" s="80">
        <f>H72/H$115</f>
        <v>0.00546448087431694</v>
      </c>
      <c r="J72" s="246">
        <f>SUM(I72:I74)/3</f>
        <v>0.033423185604737025</v>
      </c>
      <c r="K72" s="43">
        <v>250.62</v>
      </c>
      <c r="L72" s="43">
        <v>7175</v>
      </c>
      <c r="M72" s="81">
        <f t="shared" si="2"/>
        <v>34.92961672473868</v>
      </c>
    </row>
    <row r="73" spans="1:13" ht="12.75">
      <c r="A73" s="77" t="s">
        <v>17</v>
      </c>
      <c r="B73" s="58" t="s">
        <v>21</v>
      </c>
      <c r="C73" s="63">
        <v>24</v>
      </c>
      <c r="D73" s="78">
        <f>C73/C$116</f>
        <v>0.01674808094905792</v>
      </c>
      <c r="E73" s="247"/>
      <c r="F73" s="79">
        <f>C73/K73/1000</f>
        <v>6.25929113527893E-05</v>
      </c>
      <c r="G73" s="247"/>
      <c r="H73" s="97">
        <v>5</v>
      </c>
      <c r="I73" s="80">
        <f>H73/H$116</f>
        <v>0.0165016501650165</v>
      </c>
      <c r="J73" s="247"/>
      <c r="K73" s="43">
        <v>383.43</v>
      </c>
      <c r="L73" s="43">
        <v>7175</v>
      </c>
      <c r="M73" s="81">
        <f t="shared" si="2"/>
        <v>53.4397212543554</v>
      </c>
    </row>
    <row r="74" spans="1:13" ht="12.75">
      <c r="A74" s="77" t="s">
        <v>17</v>
      </c>
      <c r="B74" s="58" t="s">
        <v>22</v>
      </c>
      <c r="C74" s="63">
        <v>117</v>
      </c>
      <c r="D74" s="78">
        <f>C74/C$117</f>
        <v>0.05060553633217993</v>
      </c>
      <c r="E74" s="247"/>
      <c r="F74" s="79">
        <f>C74/K74/1000</f>
        <v>0.00025665211573474894</v>
      </c>
      <c r="G74" s="247"/>
      <c r="H74" s="43">
        <v>96</v>
      </c>
      <c r="I74" s="80">
        <f>H74/H$117</f>
        <v>0.07830342577487764</v>
      </c>
      <c r="J74" s="248"/>
      <c r="K74" s="43">
        <v>455.87</v>
      </c>
      <c r="L74" s="43">
        <v>7175</v>
      </c>
      <c r="M74" s="81">
        <f t="shared" si="2"/>
        <v>63.53588850174216</v>
      </c>
    </row>
    <row r="75" spans="1:13" ht="12.75">
      <c r="A75" s="77" t="s">
        <v>17</v>
      </c>
      <c r="B75" s="58" t="s">
        <v>12</v>
      </c>
      <c r="C75" s="63">
        <f>3.1%*3692</f>
        <v>114.452</v>
      </c>
      <c r="D75" s="78">
        <f>C75/C$118</f>
        <v>0.03406593406593406</v>
      </c>
      <c r="E75" s="247"/>
      <c r="F75" s="79">
        <f>C75/K75/1000</f>
        <v>0.0002169459397983168</v>
      </c>
      <c r="G75" s="247"/>
      <c r="H75" s="43"/>
      <c r="I75" s="80"/>
      <c r="J75" s="80"/>
      <c r="K75" s="43">
        <v>527.56</v>
      </c>
      <c r="L75" s="43">
        <v>7175</v>
      </c>
      <c r="M75" s="81">
        <f t="shared" si="2"/>
        <v>73.52752613240418</v>
      </c>
    </row>
    <row r="76" spans="1:13" ht="12.75">
      <c r="A76" s="77" t="s">
        <v>17</v>
      </c>
      <c r="B76" s="58" t="s">
        <v>30</v>
      </c>
      <c r="C76" s="63"/>
      <c r="D76" s="78"/>
      <c r="E76" s="78"/>
      <c r="F76" s="79"/>
      <c r="G76" s="79"/>
      <c r="H76" s="43"/>
      <c r="I76" s="80"/>
      <c r="J76" s="80"/>
      <c r="K76" s="82">
        <v>641.2</v>
      </c>
      <c r="L76" s="43">
        <v>7175</v>
      </c>
      <c r="M76" s="81">
        <f t="shared" si="2"/>
        <v>89.36585365853658</v>
      </c>
    </row>
    <row r="77" spans="1:13" ht="13.5" thickBot="1">
      <c r="A77" s="93" t="s">
        <v>17</v>
      </c>
      <c r="B77" s="66">
        <v>2001</v>
      </c>
      <c r="C77" s="68"/>
      <c r="D77" s="94"/>
      <c r="E77" s="94"/>
      <c r="F77" s="95"/>
      <c r="G77" s="95"/>
      <c r="H77" s="46"/>
      <c r="I77" s="96"/>
      <c r="J77" s="96"/>
      <c r="K77" s="111">
        <v>650.71</v>
      </c>
      <c r="L77" s="46">
        <v>7175</v>
      </c>
      <c r="M77" s="81">
        <f t="shared" si="2"/>
        <v>90.69128919860627</v>
      </c>
    </row>
    <row r="78" spans="1:13" ht="12.75">
      <c r="A78" s="72" t="s">
        <v>6</v>
      </c>
      <c r="B78" s="53" t="s">
        <v>10</v>
      </c>
      <c r="C78" s="48">
        <v>17</v>
      </c>
      <c r="D78" s="73">
        <f>C78/C$114</f>
        <v>0.02026221692491061</v>
      </c>
      <c r="E78" s="249">
        <f>SUM(C78:C82)/C$120</f>
        <v>0.06428881135132077</v>
      </c>
      <c r="F78" s="74">
        <f>C78/K78/1000</f>
        <v>7.841328413284132E-05</v>
      </c>
      <c r="G78" s="249">
        <f>SUM(F78:F82)/5</f>
        <v>0.00035353712351633574</v>
      </c>
      <c r="H78" s="48"/>
      <c r="I78" s="91"/>
      <c r="J78" s="91"/>
      <c r="K78" s="109">
        <v>216.8</v>
      </c>
      <c r="L78" s="48">
        <v>11027</v>
      </c>
      <c r="M78" s="76">
        <f t="shared" si="2"/>
        <v>19.660832502040446</v>
      </c>
    </row>
    <row r="79" spans="1:13" ht="12.75">
      <c r="A79" s="77" t="s">
        <v>6</v>
      </c>
      <c r="B79" s="58" t="s">
        <v>11</v>
      </c>
      <c r="C79" s="43">
        <v>66</v>
      </c>
      <c r="D79" s="78">
        <f>C79/C$115</f>
        <v>0.055230125523012555</v>
      </c>
      <c r="E79" s="247"/>
      <c r="F79" s="79">
        <f>C79/K79/1000</f>
        <v>0.00023121387283236994</v>
      </c>
      <c r="G79" s="247"/>
      <c r="H79" s="63">
        <v>2</v>
      </c>
      <c r="I79" s="80">
        <f>H79/H$115</f>
        <v>0.00273224043715847</v>
      </c>
      <c r="J79" s="246">
        <f>SUM(I79:I81)/3</f>
        <v>0.04558813461641942</v>
      </c>
      <c r="K79" s="43">
        <v>285.45</v>
      </c>
      <c r="L79" s="43">
        <v>11027</v>
      </c>
      <c r="M79" s="81">
        <f aca="true" t="shared" si="3" ref="M79:M109">K79*1000/L79</f>
        <v>25.88646050603065</v>
      </c>
    </row>
    <row r="80" spans="1:13" ht="12.75">
      <c r="A80" s="77" t="s">
        <v>6</v>
      </c>
      <c r="B80" s="58" t="s">
        <v>21</v>
      </c>
      <c r="C80" s="63">
        <v>201</v>
      </c>
      <c r="D80" s="78">
        <f>C80/C$116</f>
        <v>0.14026517794836008</v>
      </c>
      <c r="E80" s="247"/>
      <c r="F80" s="79">
        <f>C80/K80/1000</f>
        <v>0.0005871355961909214</v>
      </c>
      <c r="G80" s="247"/>
      <c r="H80" s="97">
        <v>7</v>
      </c>
      <c r="I80" s="80">
        <f>H80/H$116</f>
        <v>0.0231023102310231</v>
      </c>
      <c r="J80" s="247"/>
      <c r="K80" s="43">
        <v>342.34</v>
      </c>
      <c r="L80" s="43">
        <v>11027</v>
      </c>
      <c r="M80" s="81">
        <f t="shared" si="3"/>
        <v>31.045615307880656</v>
      </c>
    </row>
    <row r="81" spans="1:13" ht="12.75">
      <c r="A81" s="77" t="s">
        <v>6</v>
      </c>
      <c r="B81" s="58" t="s">
        <v>22</v>
      </c>
      <c r="C81" s="63">
        <v>103</v>
      </c>
      <c r="D81" s="78">
        <f>C81/C$117</f>
        <v>0.044550173010380625</v>
      </c>
      <c r="E81" s="247"/>
      <c r="F81" s="79">
        <f>C81/K81/1000</f>
        <v>0.0002855004573551016</v>
      </c>
      <c r="G81" s="247"/>
      <c r="H81" s="60">
        <v>136</v>
      </c>
      <c r="I81" s="80">
        <f>H81/H$117</f>
        <v>0.11092985318107668</v>
      </c>
      <c r="J81" s="248"/>
      <c r="K81" s="43">
        <v>360.77</v>
      </c>
      <c r="L81" s="43">
        <v>11027</v>
      </c>
      <c r="M81" s="81">
        <f t="shared" si="3"/>
        <v>32.71696744354765</v>
      </c>
    </row>
    <row r="82" spans="1:13" ht="12.75">
      <c r="A82" s="77" t="s">
        <v>6</v>
      </c>
      <c r="B82" s="58" t="s">
        <v>12</v>
      </c>
      <c r="C82" s="63">
        <f>6.1%*3692</f>
        <v>225.212</v>
      </c>
      <c r="D82" s="78">
        <f>C82/C$118</f>
        <v>0.06703296703296703</v>
      </c>
      <c r="E82" s="247"/>
      <c r="F82" s="79">
        <f>C82/K82/1000</f>
        <v>0.0005854224070704445</v>
      </c>
      <c r="G82" s="247"/>
      <c r="H82" s="43"/>
      <c r="I82" s="80"/>
      <c r="J82" s="80"/>
      <c r="K82" s="43">
        <v>384.7</v>
      </c>
      <c r="L82" s="43">
        <v>11027</v>
      </c>
      <c r="M82" s="81">
        <f t="shared" si="3"/>
        <v>34.88709531150812</v>
      </c>
    </row>
    <row r="83" spans="1:13" ht="12.75">
      <c r="A83" s="77" t="s">
        <v>6</v>
      </c>
      <c r="B83" s="58" t="s">
        <v>30</v>
      </c>
      <c r="C83" s="63"/>
      <c r="D83" s="78"/>
      <c r="E83" s="78"/>
      <c r="F83" s="79"/>
      <c r="G83" s="79"/>
      <c r="H83" s="43"/>
      <c r="I83" s="80"/>
      <c r="J83" s="80"/>
      <c r="K83" s="43">
        <v>421.9</v>
      </c>
      <c r="L83" s="43">
        <v>11027</v>
      </c>
      <c r="M83" s="81">
        <f t="shared" si="3"/>
        <v>38.26063299174753</v>
      </c>
    </row>
    <row r="84" spans="1:13" ht="13.5" thickBot="1">
      <c r="A84" s="83" t="s">
        <v>6</v>
      </c>
      <c r="B84" s="84">
        <v>2001</v>
      </c>
      <c r="C84" s="85"/>
      <c r="D84" s="86"/>
      <c r="E84" s="86"/>
      <c r="F84" s="87"/>
      <c r="G84" s="87"/>
      <c r="H84" s="88"/>
      <c r="I84" s="89"/>
      <c r="J84" s="89"/>
      <c r="K84" s="88">
        <v>404.08</v>
      </c>
      <c r="L84" s="88">
        <v>11027</v>
      </c>
      <c r="M84" s="90">
        <f t="shared" si="3"/>
        <v>36.64459961911671</v>
      </c>
    </row>
    <row r="85" spans="1:13" ht="12.75">
      <c r="A85" s="72" t="s">
        <v>15</v>
      </c>
      <c r="B85" s="53" t="s">
        <v>10</v>
      </c>
      <c r="C85" s="48">
        <v>14</v>
      </c>
      <c r="D85" s="73">
        <f>C85/C$114</f>
        <v>0.0166865315852205</v>
      </c>
      <c r="E85" s="249">
        <f>SUM(C85:C89)/C$120</f>
        <v>0.011365098160328031</v>
      </c>
      <c r="F85" s="74">
        <f>C85/K85/1000</f>
        <v>0.0001433251433251433</v>
      </c>
      <c r="G85" s="249">
        <f>SUM(F85:F89)/5</f>
        <v>0.00015259660524590677</v>
      </c>
      <c r="H85" s="48"/>
      <c r="I85" s="91"/>
      <c r="J85" s="91"/>
      <c r="K85" s="48">
        <v>97.68</v>
      </c>
      <c r="L85" s="48">
        <v>3122</v>
      </c>
      <c r="M85" s="76">
        <f t="shared" si="3"/>
        <v>31.28763613068546</v>
      </c>
    </row>
    <row r="86" spans="1:13" ht="12.75">
      <c r="A86" s="77" t="s">
        <v>15</v>
      </c>
      <c r="B86" s="58" t="s">
        <v>11</v>
      </c>
      <c r="C86" s="43">
        <v>19</v>
      </c>
      <c r="D86" s="78">
        <f>C86/C$115</f>
        <v>0.015899581589958158</v>
      </c>
      <c r="E86" s="247"/>
      <c r="F86" s="79">
        <f>C86/K86/1000</f>
        <v>0.00016854430941186908</v>
      </c>
      <c r="G86" s="247"/>
      <c r="H86" s="43">
        <v>3</v>
      </c>
      <c r="I86" s="80">
        <f>H86/H$115</f>
        <v>0.004098360655737705</v>
      </c>
      <c r="J86" s="246">
        <f>SUM(I86:I88)/3</f>
        <v>0.011425935335490599</v>
      </c>
      <c r="K86" s="43">
        <v>112.73</v>
      </c>
      <c r="L86" s="43">
        <v>3122</v>
      </c>
      <c r="M86" s="81">
        <f t="shared" si="3"/>
        <v>36.108263933376044</v>
      </c>
    </row>
    <row r="87" spans="1:13" ht="12.75">
      <c r="A87" s="77" t="s">
        <v>15</v>
      </c>
      <c r="B87" s="58" t="s">
        <v>21</v>
      </c>
      <c r="C87" s="63">
        <v>32</v>
      </c>
      <c r="D87" s="78">
        <f>C87/C$116</f>
        <v>0.022330774598743892</v>
      </c>
      <c r="E87" s="247"/>
      <c r="F87" s="79">
        <f>C87/K87/1000</f>
        <v>0.00021832571467558166</v>
      </c>
      <c r="G87" s="247"/>
      <c r="H87" s="97">
        <v>0</v>
      </c>
      <c r="I87" s="80">
        <f>H87/H$116</f>
        <v>0</v>
      </c>
      <c r="J87" s="247"/>
      <c r="K87" s="43">
        <v>146.57</v>
      </c>
      <c r="L87" s="43">
        <v>3122</v>
      </c>
      <c r="M87" s="81">
        <f t="shared" si="3"/>
        <v>46.94746957078796</v>
      </c>
    </row>
    <row r="88" spans="1:13" ht="12.75">
      <c r="A88" s="77" t="s">
        <v>15</v>
      </c>
      <c r="B88" s="58" t="s">
        <v>22</v>
      </c>
      <c r="C88" s="63">
        <v>10</v>
      </c>
      <c r="D88" s="78">
        <f>C88/C$117</f>
        <v>0.004325259515570935</v>
      </c>
      <c r="E88" s="247"/>
      <c r="F88" s="79">
        <f>C88/K88/1000</f>
        <v>5.7303306400779325E-05</v>
      </c>
      <c r="G88" s="247"/>
      <c r="H88" s="43">
        <v>37</v>
      </c>
      <c r="I88" s="80">
        <f>H88/H$117</f>
        <v>0.030179445350734094</v>
      </c>
      <c r="J88" s="248"/>
      <c r="K88" s="43">
        <v>174.51</v>
      </c>
      <c r="L88" s="43">
        <v>3122</v>
      </c>
      <c r="M88" s="81">
        <f t="shared" si="3"/>
        <v>55.89686098654708</v>
      </c>
    </row>
    <row r="89" spans="1:13" ht="12.75">
      <c r="A89" s="77" t="s">
        <v>15</v>
      </c>
      <c r="B89" s="58" t="s">
        <v>12</v>
      </c>
      <c r="C89" s="63">
        <f>0.9%*3692</f>
        <v>33.228</v>
      </c>
      <c r="D89" s="78">
        <f>C89/C$118</f>
        <v>0.00989010989010989</v>
      </c>
      <c r="E89" s="247"/>
      <c r="F89" s="79">
        <f>C89/K89/1000</f>
        <v>0.00017548455241616056</v>
      </c>
      <c r="G89" s="247"/>
      <c r="H89" s="43"/>
      <c r="I89" s="80"/>
      <c r="J89" s="80"/>
      <c r="K89" s="43">
        <v>189.35</v>
      </c>
      <c r="L89" s="43">
        <v>3122</v>
      </c>
      <c r="M89" s="81">
        <f t="shared" si="3"/>
        <v>60.65022421524664</v>
      </c>
    </row>
    <row r="90" spans="1:13" ht="12.75">
      <c r="A90" s="77" t="s">
        <v>15</v>
      </c>
      <c r="B90" s="58" t="s">
        <v>30</v>
      </c>
      <c r="C90" s="63"/>
      <c r="D90" s="78"/>
      <c r="E90" s="78"/>
      <c r="F90" s="79"/>
      <c r="G90" s="79"/>
      <c r="H90" s="43"/>
      <c r="I90" s="80"/>
      <c r="J90" s="80"/>
      <c r="K90" s="43">
        <v>212.6</v>
      </c>
      <c r="L90" s="43">
        <v>3122</v>
      </c>
      <c r="M90" s="81">
        <f t="shared" si="3"/>
        <v>68.0973734785394</v>
      </c>
    </row>
    <row r="91" spans="1:13" ht="19.5" customHeight="1" thickBot="1">
      <c r="A91" s="93" t="s">
        <v>15</v>
      </c>
      <c r="B91" s="66">
        <v>2001</v>
      </c>
      <c r="C91" s="68"/>
      <c r="D91" s="94"/>
      <c r="E91" s="94"/>
      <c r="F91" s="95"/>
      <c r="G91" s="95"/>
      <c r="H91" s="46"/>
      <c r="I91" s="96"/>
      <c r="J91" s="96"/>
      <c r="K91" s="46">
        <v>206.95</v>
      </c>
      <c r="L91" s="46">
        <v>3122</v>
      </c>
      <c r="M91" s="81">
        <f t="shared" si="3"/>
        <v>66.28763613068546</v>
      </c>
    </row>
    <row r="92" spans="1:13" ht="19.5" customHeight="1">
      <c r="A92" s="102"/>
      <c r="B92" s="103"/>
      <c r="C92" s="104"/>
      <c r="D92" s="105"/>
      <c r="E92" s="105"/>
      <c r="F92" s="106"/>
      <c r="G92" s="106"/>
      <c r="H92" s="107"/>
      <c r="I92" s="108"/>
      <c r="J92" s="108"/>
      <c r="K92" s="107"/>
      <c r="L92" s="107"/>
      <c r="M92" s="242"/>
    </row>
    <row r="93" spans="1:13" ht="19.5" customHeight="1" thickBot="1">
      <c r="A93" s="102"/>
      <c r="B93" s="103"/>
      <c r="C93" s="104"/>
      <c r="D93" s="105"/>
      <c r="E93" s="105"/>
      <c r="F93" s="106"/>
      <c r="G93" s="106"/>
      <c r="H93" s="107"/>
      <c r="I93" s="108"/>
      <c r="J93" s="108"/>
      <c r="K93" s="107"/>
      <c r="L93" s="107"/>
      <c r="M93" s="242"/>
    </row>
    <row r="94" spans="1:13" s="51" customFormat="1" ht="66" customHeight="1">
      <c r="A94" s="255" t="s">
        <v>226</v>
      </c>
      <c r="B94" s="256"/>
      <c r="C94" s="9" t="s">
        <v>227</v>
      </c>
      <c r="D94" s="9" t="s">
        <v>134</v>
      </c>
      <c r="E94" s="9" t="s">
        <v>134</v>
      </c>
      <c r="F94" s="9" t="s">
        <v>135</v>
      </c>
      <c r="G94" s="9" t="s">
        <v>71</v>
      </c>
      <c r="H94" s="9" t="s">
        <v>236</v>
      </c>
      <c r="I94" s="9" t="s">
        <v>136</v>
      </c>
      <c r="J94" s="9" t="s">
        <v>137</v>
      </c>
      <c r="K94" s="9" t="s">
        <v>239</v>
      </c>
      <c r="L94" s="9" t="s">
        <v>241</v>
      </c>
      <c r="M94" s="15" t="s">
        <v>243</v>
      </c>
    </row>
    <row r="95" spans="1:13" s="51" customFormat="1" ht="45.75" thickBot="1">
      <c r="A95" s="5" t="s">
        <v>62</v>
      </c>
      <c r="B95" s="6" t="s">
        <v>63</v>
      </c>
      <c r="C95" s="6" t="s">
        <v>64</v>
      </c>
      <c r="D95" s="6" t="s">
        <v>65</v>
      </c>
      <c r="E95" s="6" t="s">
        <v>66</v>
      </c>
      <c r="F95" s="6" t="s">
        <v>67</v>
      </c>
      <c r="G95" s="6" t="s">
        <v>68</v>
      </c>
      <c r="H95" s="6" t="s">
        <v>69</v>
      </c>
      <c r="I95" s="6" t="s">
        <v>69</v>
      </c>
      <c r="J95" s="6" t="s">
        <v>70</v>
      </c>
      <c r="K95" s="6" t="s">
        <v>72</v>
      </c>
      <c r="L95" s="6" t="s">
        <v>138</v>
      </c>
      <c r="M95" s="8" t="s">
        <v>139</v>
      </c>
    </row>
    <row r="96" spans="1:13" ht="12.75">
      <c r="A96" s="72" t="s">
        <v>7</v>
      </c>
      <c r="B96" s="53" t="s">
        <v>10</v>
      </c>
      <c r="C96" s="48">
        <v>14</v>
      </c>
      <c r="D96" s="73">
        <f>C96/C$114</f>
        <v>0.0166865315852205</v>
      </c>
      <c r="E96" s="249">
        <f>SUM(C96:C100)/C$120</f>
        <v>0.009224560028789734</v>
      </c>
      <c r="F96" s="74">
        <f>C96/K96/1000</f>
        <v>5.578355978802247E-05</v>
      </c>
      <c r="G96" s="249">
        <f>SUM(F96:F100)/4</f>
        <v>5.8116234137550315E-05</v>
      </c>
      <c r="H96" s="112"/>
      <c r="I96" s="91"/>
      <c r="J96" s="91"/>
      <c r="K96" s="48">
        <v>250.97</v>
      </c>
      <c r="L96" s="48">
        <v>8125</v>
      </c>
      <c r="M96" s="76">
        <f t="shared" si="3"/>
        <v>30.888615384615385</v>
      </c>
    </row>
    <row r="97" spans="1:13" ht="12.75">
      <c r="A97" s="77" t="s">
        <v>7</v>
      </c>
      <c r="B97" s="58" t="s">
        <v>11</v>
      </c>
      <c r="C97" s="43"/>
      <c r="D97" s="78"/>
      <c r="E97" s="247"/>
      <c r="F97" s="79">
        <f>C97/K97/1000</f>
        <v>0</v>
      </c>
      <c r="G97" s="247"/>
      <c r="H97" s="43">
        <v>7</v>
      </c>
      <c r="I97" s="80">
        <f>H97/H$115</f>
        <v>0.009562841530054645</v>
      </c>
      <c r="J97" s="246">
        <f>SUM(I97:I99)/3</f>
        <v>0.01112258352302751</v>
      </c>
      <c r="K97" s="43">
        <v>274.64</v>
      </c>
      <c r="L97" s="43">
        <v>8125</v>
      </c>
      <c r="M97" s="81">
        <f t="shared" si="3"/>
        <v>33.80184615384616</v>
      </c>
    </row>
    <row r="98" spans="1:13" ht="12.75">
      <c r="A98" s="77" t="s">
        <v>7</v>
      </c>
      <c r="B98" s="58" t="s">
        <v>21</v>
      </c>
      <c r="C98" s="63">
        <v>37</v>
      </c>
      <c r="D98" s="78">
        <f>C98/C$116</f>
        <v>0.025819958129797628</v>
      </c>
      <c r="E98" s="247"/>
      <c r="F98" s="79">
        <f>C98/K98/1000</f>
        <v>0.00010072960906021997</v>
      </c>
      <c r="G98" s="247"/>
      <c r="H98" s="97">
        <v>4</v>
      </c>
      <c r="I98" s="80">
        <f>H98/H$116</f>
        <v>0.013201320132013201</v>
      </c>
      <c r="J98" s="247"/>
      <c r="K98" s="43">
        <v>367.32</v>
      </c>
      <c r="L98" s="43">
        <v>8125</v>
      </c>
      <c r="M98" s="81">
        <f t="shared" si="3"/>
        <v>45.208615384615385</v>
      </c>
    </row>
    <row r="99" spans="1:13" ht="12.75">
      <c r="A99" s="77" t="s">
        <v>7</v>
      </c>
      <c r="B99" s="58" t="s">
        <v>22</v>
      </c>
      <c r="C99" s="63">
        <v>11</v>
      </c>
      <c r="D99" s="78">
        <f>C99/C$117</f>
        <v>0.004757785467128028</v>
      </c>
      <c r="E99" s="247"/>
      <c r="F99" s="79">
        <f>C99/K99/1000</f>
        <v>2.4885751775937742E-05</v>
      </c>
      <c r="G99" s="247"/>
      <c r="H99" s="43">
        <v>13</v>
      </c>
      <c r="I99" s="80">
        <f>H99/H$117</f>
        <v>0.010603588907014683</v>
      </c>
      <c r="J99" s="248"/>
      <c r="K99" s="43">
        <v>442.02</v>
      </c>
      <c r="L99" s="43">
        <v>8125</v>
      </c>
      <c r="M99" s="81">
        <f t="shared" si="3"/>
        <v>54.40246153846154</v>
      </c>
    </row>
    <row r="100" spans="1:13" ht="12.75">
      <c r="A100" s="77" t="s">
        <v>7</v>
      </c>
      <c r="B100" s="58" t="s">
        <v>12</v>
      </c>
      <c r="C100" s="63">
        <f>0.7%*3692</f>
        <v>25.843999999999998</v>
      </c>
      <c r="D100" s="78">
        <f>C100/C$118</f>
        <v>0.007692307692307691</v>
      </c>
      <c r="E100" s="247"/>
      <c r="F100" s="79">
        <f>C100/K100/1000</f>
        <v>5.106601592602106E-05</v>
      </c>
      <c r="G100" s="247"/>
      <c r="H100" s="97"/>
      <c r="I100" s="80"/>
      <c r="J100" s="246"/>
      <c r="K100" s="43">
        <v>506.09</v>
      </c>
      <c r="L100" s="43">
        <v>8125</v>
      </c>
      <c r="M100" s="81">
        <f t="shared" si="3"/>
        <v>62.288</v>
      </c>
    </row>
    <row r="101" spans="1:13" ht="12.75">
      <c r="A101" s="77" t="s">
        <v>7</v>
      </c>
      <c r="B101" s="58" t="s">
        <v>30</v>
      </c>
      <c r="C101" s="63"/>
      <c r="D101" s="78"/>
      <c r="E101" s="78"/>
      <c r="F101" s="79"/>
      <c r="G101" s="79"/>
      <c r="H101" s="97"/>
      <c r="I101" s="80"/>
      <c r="J101" s="247"/>
      <c r="K101" s="43">
        <v>607.6</v>
      </c>
      <c r="L101" s="43">
        <v>8125</v>
      </c>
      <c r="M101" s="81">
        <f t="shared" si="3"/>
        <v>74.78153846153846</v>
      </c>
    </row>
    <row r="102" spans="1:13" ht="13.5" thickBot="1">
      <c r="A102" s="93" t="s">
        <v>7</v>
      </c>
      <c r="B102" s="66">
        <v>2001</v>
      </c>
      <c r="C102" s="68"/>
      <c r="D102" s="94"/>
      <c r="E102" s="94"/>
      <c r="F102" s="95"/>
      <c r="G102" s="95"/>
      <c r="H102" s="113"/>
      <c r="I102" s="96"/>
      <c r="J102" s="248"/>
      <c r="K102" s="46">
        <v>598.5</v>
      </c>
      <c r="L102" s="46">
        <v>8125</v>
      </c>
      <c r="M102" s="81">
        <f t="shared" si="3"/>
        <v>73.66153846153846</v>
      </c>
    </row>
    <row r="103" spans="1:13" ht="12.75">
      <c r="A103" s="72" t="s">
        <v>8</v>
      </c>
      <c r="B103" s="53" t="s">
        <v>10</v>
      </c>
      <c r="C103" s="110">
        <v>41</v>
      </c>
      <c r="D103" s="73">
        <f>C103/C$114</f>
        <v>0.04886769964243146</v>
      </c>
      <c r="E103" s="249">
        <f>SUM(C103:C107)/C$120</f>
        <v>0.052503670386530754</v>
      </c>
      <c r="F103" s="74">
        <f>C103/K103/1000</f>
        <v>0.000108105827695131</v>
      </c>
      <c r="G103" s="249">
        <f>SUM(F103:F107)/5</f>
        <v>0.00014763555505525606</v>
      </c>
      <c r="H103" s="112"/>
      <c r="I103" s="91"/>
      <c r="J103" s="91"/>
      <c r="K103" s="109">
        <f>109.305+76.59+146.893+46.47</f>
        <v>379.25800000000004</v>
      </c>
      <c r="L103" s="48">
        <v>130304</v>
      </c>
      <c r="M103" s="76">
        <f t="shared" si="3"/>
        <v>2.910562991159136</v>
      </c>
    </row>
    <row r="104" spans="1:13" ht="12.75">
      <c r="A104" s="77" t="s">
        <v>8</v>
      </c>
      <c r="B104" s="58" t="s">
        <v>11</v>
      </c>
      <c r="C104" s="43">
        <v>82</v>
      </c>
      <c r="D104" s="78">
        <f>C104/C$115</f>
        <v>0.06861924686192468</v>
      </c>
      <c r="E104" s="247"/>
      <c r="F104" s="79">
        <f>C104/K104/1000</f>
        <v>0.00016970901113456686</v>
      </c>
      <c r="G104" s="247"/>
      <c r="H104" s="43">
        <v>28</v>
      </c>
      <c r="I104" s="80">
        <f>H104/H$115</f>
        <v>0.03825136612021858</v>
      </c>
      <c r="J104" s="246">
        <f>SUM(I104:I106)/3</f>
        <v>0.017619294622747115</v>
      </c>
      <c r="K104" s="43">
        <f>139.59+94.65+174.04+24.25+25.5+13.69+11.46</f>
        <v>483.17999999999995</v>
      </c>
      <c r="L104" s="43">
        <v>130304</v>
      </c>
      <c r="M104" s="81">
        <f t="shared" si="3"/>
        <v>3.7080979862475436</v>
      </c>
    </row>
    <row r="105" spans="1:13" ht="12.75">
      <c r="A105" s="77" t="s">
        <v>8</v>
      </c>
      <c r="B105" s="58" t="s">
        <v>21</v>
      </c>
      <c r="C105" s="63">
        <v>105</v>
      </c>
      <c r="D105" s="78">
        <f>C105/C$116</f>
        <v>0.0732728541521284</v>
      </c>
      <c r="E105" s="247"/>
      <c r="F105" s="79">
        <f>C105/K105/1000</f>
        <v>0.00016030779095864057</v>
      </c>
      <c r="G105" s="247"/>
      <c r="H105" s="97">
        <v>-2</v>
      </c>
      <c r="I105" s="80">
        <f>H105/H$116</f>
        <v>-0.006600660066006601</v>
      </c>
      <c r="J105" s="247"/>
      <c r="K105" s="43">
        <f>144.59+120.86+216.03+62.19+53.33+23.49+34.5</f>
        <v>654.9900000000001</v>
      </c>
      <c r="L105" s="43">
        <v>130304</v>
      </c>
      <c r="M105" s="81">
        <f t="shared" si="3"/>
        <v>5.0266300343811405</v>
      </c>
    </row>
    <row r="106" spans="1:13" ht="12.75">
      <c r="A106" s="77" t="s">
        <v>8</v>
      </c>
      <c r="B106" s="58" t="s">
        <v>22</v>
      </c>
      <c r="C106" s="63">
        <v>80</v>
      </c>
      <c r="D106" s="78">
        <f>C106/C$117</f>
        <v>0.03460207612456748</v>
      </c>
      <c r="E106" s="247"/>
      <c r="F106" s="79">
        <f>C106/K106/1000</f>
        <v>0.00010114035753116388</v>
      </c>
      <c r="G106" s="247"/>
      <c r="H106" s="43">
        <v>26</v>
      </c>
      <c r="I106" s="80">
        <f>H106/H$117</f>
        <v>0.021207177814029365</v>
      </c>
      <c r="J106" s="248"/>
      <c r="K106" s="43">
        <f>152.1+127.78+247.29+115.11+70.22+31.78+46.7</f>
        <v>790.98</v>
      </c>
      <c r="L106" s="43">
        <v>130304</v>
      </c>
      <c r="M106" s="81">
        <f t="shared" si="3"/>
        <v>6.070266453831041</v>
      </c>
    </row>
    <row r="107" spans="1:13" ht="12.75">
      <c r="A107" s="77" t="s">
        <v>8</v>
      </c>
      <c r="B107" s="58" t="s">
        <v>12</v>
      </c>
      <c r="C107" s="63">
        <f>5.2%*3692</f>
        <v>191.984</v>
      </c>
      <c r="D107" s="78">
        <f>C107/C$118</f>
        <v>0.05714285714285714</v>
      </c>
      <c r="E107" s="247"/>
      <c r="F107" s="79">
        <f>C107/K107/1000</f>
        <v>0.00019891478795677802</v>
      </c>
      <c r="G107" s="247"/>
      <c r="H107" s="97"/>
      <c r="I107" s="97"/>
      <c r="J107" s="97"/>
      <c r="K107" s="43">
        <f>163.15+141.48+275.94+103.61+95.42+42.24+77.15+66.167</f>
        <v>965.1569999999999</v>
      </c>
      <c r="L107" s="43">
        <v>130304</v>
      </c>
      <c r="M107" s="81">
        <f t="shared" si="3"/>
        <v>7.4069637156188595</v>
      </c>
    </row>
    <row r="108" spans="1:13" ht="12.75">
      <c r="A108" s="77" t="s">
        <v>8</v>
      </c>
      <c r="B108" s="58" t="s">
        <v>30</v>
      </c>
      <c r="C108" s="63"/>
      <c r="D108" s="78"/>
      <c r="E108" s="78"/>
      <c r="F108" s="79"/>
      <c r="G108" s="79"/>
      <c r="H108" s="97"/>
      <c r="I108" s="97"/>
      <c r="J108" s="97"/>
      <c r="K108" s="43">
        <f>180.4+163.1+321.1+135.7+84+59+133.9+97.3+66.9+89</f>
        <v>1330.4</v>
      </c>
      <c r="L108" s="43">
        <v>130304</v>
      </c>
      <c r="M108" s="81">
        <f t="shared" si="3"/>
        <v>10.209970530451866</v>
      </c>
    </row>
    <row r="109" spans="1:13" ht="13.5" thickBot="1">
      <c r="A109" s="93" t="s">
        <v>8</v>
      </c>
      <c r="B109" s="66">
        <v>2001</v>
      </c>
      <c r="C109" s="68"/>
      <c r="D109" s="94"/>
      <c r="E109" s="94"/>
      <c r="F109" s="95"/>
      <c r="G109" s="95"/>
      <c r="H109" s="113"/>
      <c r="I109" s="113"/>
      <c r="J109" s="113"/>
      <c r="K109" s="46">
        <f>168.87+152.3+345.78+113.3+79.61+61.41+76.41+130.09+85.77+72.17</f>
        <v>1285.71</v>
      </c>
      <c r="L109" s="46">
        <v>130304</v>
      </c>
      <c r="M109" s="81">
        <f t="shared" si="3"/>
        <v>9.867003315324165</v>
      </c>
    </row>
    <row r="110" spans="1:13" ht="12.75">
      <c r="A110" s="72" t="s">
        <v>18</v>
      </c>
      <c r="B110" s="53" t="s">
        <v>19</v>
      </c>
      <c r="C110" s="110">
        <f>1.5%*6307</f>
        <v>94.60499999999999</v>
      </c>
      <c r="D110" s="48"/>
      <c r="E110" s="250">
        <f>SUM(C110:C111)/C120</f>
        <v>0.02156552263458408</v>
      </c>
      <c r="F110" s="114"/>
      <c r="G110" s="114"/>
      <c r="H110" s="112"/>
      <c r="I110" s="112"/>
      <c r="J110" s="112"/>
      <c r="K110" s="48"/>
      <c r="L110" s="48"/>
      <c r="M110" s="49"/>
    </row>
    <row r="111" spans="1:13" ht="13.5" thickBot="1">
      <c r="A111" s="93"/>
      <c r="B111" s="66" t="s">
        <v>12</v>
      </c>
      <c r="C111" s="68">
        <f>3%*3692</f>
        <v>110.75999999999999</v>
      </c>
      <c r="D111" s="46"/>
      <c r="E111" s="251"/>
      <c r="F111" s="46"/>
      <c r="G111" s="46"/>
      <c r="H111" s="100"/>
      <c r="I111" s="100"/>
      <c r="J111" s="100"/>
      <c r="K111" s="46"/>
      <c r="L111" s="46"/>
      <c r="M111" s="47"/>
    </row>
    <row r="112" spans="1:13" ht="12.75">
      <c r="A112" s="72" t="s">
        <v>20</v>
      </c>
      <c r="B112" s="53" t="s">
        <v>19</v>
      </c>
      <c r="C112" s="110">
        <f>0.2%*6307</f>
        <v>12.614</v>
      </c>
      <c r="D112" s="48"/>
      <c r="E112" s="73"/>
      <c r="F112" s="73"/>
      <c r="G112" s="73"/>
      <c r="H112" s="112"/>
      <c r="I112" s="112"/>
      <c r="J112" s="112"/>
      <c r="K112" s="48"/>
      <c r="L112" s="48"/>
      <c r="M112" s="49"/>
    </row>
    <row r="113" spans="1:13" ht="13.5" thickBot="1">
      <c r="A113" s="93"/>
      <c r="B113" s="66" t="s">
        <v>12</v>
      </c>
      <c r="C113" s="68">
        <f>4.5%*3692</f>
        <v>166.14</v>
      </c>
      <c r="D113" s="46"/>
      <c r="E113" s="46"/>
      <c r="F113" s="46"/>
      <c r="G113" s="46"/>
      <c r="H113" s="100"/>
      <c r="I113" s="100"/>
      <c r="J113" s="100"/>
      <c r="K113" s="46"/>
      <c r="L113" s="46"/>
      <c r="M113" s="47"/>
    </row>
    <row r="114" spans="1:13" ht="12.75">
      <c r="A114" s="72" t="s">
        <v>9</v>
      </c>
      <c r="B114" s="53" t="s">
        <v>10</v>
      </c>
      <c r="C114" s="110">
        <f>C13+C20+C27+C34+C41+C50+C57+C64+C71+C78+C85+C96+C103</f>
        <v>839</v>
      </c>
      <c r="D114" s="48"/>
      <c r="E114" s="48"/>
      <c r="F114" s="48"/>
      <c r="G114" s="48"/>
      <c r="H114" s="110"/>
      <c r="I114" s="110"/>
      <c r="J114" s="110"/>
      <c r="K114" s="48"/>
      <c r="L114" s="48"/>
      <c r="M114" s="49"/>
    </row>
    <row r="115" spans="1:13" ht="12.75">
      <c r="A115" s="77" t="s">
        <v>9</v>
      </c>
      <c r="B115" s="58" t="s">
        <v>11</v>
      </c>
      <c r="C115" s="63">
        <f>C14+C21+C28+C35+C42+C51+C58+C65+C72+C79+C86+C97+C104</f>
        <v>1195</v>
      </c>
      <c r="D115" s="43"/>
      <c r="E115" s="43"/>
      <c r="F115" s="43"/>
      <c r="G115" s="43"/>
      <c r="H115" s="63">
        <f>H14+H21+H28+H35+H42+H51+H58+H65+H72+H79+H86+H97+H104</f>
        <v>732</v>
      </c>
      <c r="I115" s="63"/>
      <c r="J115" s="63"/>
      <c r="K115" s="43"/>
      <c r="L115" s="43"/>
      <c r="M115" s="44"/>
    </row>
    <row r="116" spans="1:13" ht="12.75">
      <c r="A116" s="77" t="s">
        <v>9</v>
      </c>
      <c r="B116" s="58" t="s">
        <v>21</v>
      </c>
      <c r="C116" s="63">
        <f>C15+C22+C29+C36+C43+C52+C59+C66+C73+C80+C87+C98+C105</f>
        <v>1433</v>
      </c>
      <c r="D116" s="43"/>
      <c r="E116" s="43"/>
      <c r="F116" s="43"/>
      <c r="G116" s="43"/>
      <c r="H116" s="63">
        <f>H15+H22+H29+H36+H43+H52+H59+H66+H73+H80+H87+H98+H105</f>
        <v>303</v>
      </c>
      <c r="I116" s="63"/>
      <c r="J116" s="63"/>
      <c r="K116" s="43"/>
      <c r="L116" s="43"/>
      <c r="M116" s="44"/>
    </row>
    <row r="117" spans="1:13" ht="12.75">
      <c r="A117" s="77" t="s">
        <v>9</v>
      </c>
      <c r="B117" s="58" t="s">
        <v>22</v>
      </c>
      <c r="C117" s="63">
        <f>C16+C23+C30+C37+C44+C53+C60+C67+C74+C81+C88+C99+C106</f>
        <v>2312</v>
      </c>
      <c r="D117" s="43"/>
      <c r="E117" s="43"/>
      <c r="F117" s="43"/>
      <c r="G117" s="43"/>
      <c r="H117" s="63">
        <f>H16+H23+H30+H37+H44+H53+H60+H67+H74+H81+H88+H99+H106</f>
        <v>1226</v>
      </c>
      <c r="I117" s="63"/>
      <c r="J117" s="63"/>
      <c r="K117" s="43"/>
      <c r="L117" s="43"/>
      <c r="M117" s="44"/>
    </row>
    <row r="118" spans="1:13" ht="12.75">
      <c r="A118" s="77" t="s">
        <v>9</v>
      </c>
      <c r="B118" s="58" t="s">
        <v>12</v>
      </c>
      <c r="C118" s="63">
        <f>C17+C24+C31+C38+C45+C54+C61+C68+C75+C82+C89+C100+C107</f>
        <v>3359.7200000000003</v>
      </c>
      <c r="D118" s="43"/>
      <c r="E118" s="43"/>
      <c r="F118" s="43"/>
      <c r="G118" s="43"/>
      <c r="H118" s="63"/>
      <c r="I118" s="63"/>
      <c r="J118" s="63"/>
      <c r="K118" s="43"/>
      <c r="L118" s="43"/>
      <c r="M118" s="44"/>
    </row>
    <row r="119" spans="1:13" ht="13.5" thickBot="1">
      <c r="A119" s="93" t="s">
        <v>9</v>
      </c>
      <c r="B119" s="66">
        <v>2001</v>
      </c>
      <c r="C119" s="68"/>
      <c r="D119" s="46"/>
      <c r="E119" s="46"/>
      <c r="F119" s="46"/>
      <c r="G119" s="46"/>
      <c r="H119" s="68"/>
      <c r="I119" s="68"/>
      <c r="J119" s="68"/>
      <c r="K119" s="46"/>
      <c r="L119" s="46"/>
      <c r="M119" s="47"/>
    </row>
    <row r="120" spans="1:13" ht="15" customHeight="1" thickBot="1">
      <c r="A120" s="115" t="s">
        <v>143</v>
      </c>
      <c r="B120" s="116"/>
      <c r="C120" s="117">
        <f>SUM(C13:C113)</f>
        <v>9522.838999999998</v>
      </c>
      <c r="D120" s="116"/>
      <c r="E120" s="118">
        <f>SUM(E13:E103)</f>
        <v>0.9596633944982165</v>
      </c>
      <c r="F120" s="118"/>
      <c r="G120" s="118"/>
      <c r="H120" s="119"/>
      <c r="I120" s="119"/>
      <c r="J120" s="119"/>
      <c r="K120" s="116"/>
      <c r="L120" s="116"/>
      <c r="M120" s="120"/>
    </row>
    <row r="121" spans="2:10" ht="12.75">
      <c r="B121" s="50"/>
      <c r="H121" s="121"/>
      <c r="I121" s="121"/>
      <c r="J121" s="121"/>
    </row>
    <row r="123" ht="12.75">
      <c r="A123" s="193" t="s">
        <v>225</v>
      </c>
    </row>
    <row r="124" s="187" customFormat="1" ht="11.25">
      <c r="A124" s="187" t="s">
        <v>232</v>
      </c>
    </row>
    <row r="125" s="187" customFormat="1" ht="11.25">
      <c r="A125" s="187" t="s">
        <v>224</v>
      </c>
    </row>
    <row r="126" s="187" customFormat="1" ht="11.25">
      <c r="A126" s="187" t="s">
        <v>228</v>
      </c>
    </row>
    <row r="127" s="187" customFormat="1" ht="11.25">
      <c r="A127" s="187" t="s">
        <v>223</v>
      </c>
    </row>
    <row r="128" s="187" customFormat="1" ht="11.25">
      <c r="A128" s="187" t="s">
        <v>229</v>
      </c>
    </row>
    <row r="129" s="187" customFormat="1" ht="11.25">
      <c r="A129" s="187" t="s">
        <v>230</v>
      </c>
    </row>
    <row r="130" s="187" customFormat="1" ht="11.25">
      <c r="A130" s="187" t="s">
        <v>231</v>
      </c>
    </row>
    <row r="131" s="187" customFormat="1" ht="11.25">
      <c r="A131" s="187" t="s">
        <v>222</v>
      </c>
    </row>
    <row r="132" s="187" customFormat="1" ht="11.25">
      <c r="A132" s="187" t="s">
        <v>233</v>
      </c>
    </row>
    <row r="133" s="187" customFormat="1" ht="11.25">
      <c r="A133" s="187" t="s">
        <v>234</v>
      </c>
    </row>
    <row r="134" s="187" customFormat="1" ht="11.25">
      <c r="A134" s="187" t="s">
        <v>235</v>
      </c>
    </row>
    <row r="135" s="187" customFormat="1" ht="11.25">
      <c r="A135" s="187" t="s">
        <v>237</v>
      </c>
    </row>
    <row r="136" s="187" customFormat="1" ht="11.25">
      <c r="A136" s="187" t="s">
        <v>238</v>
      </c>
    </row>
    <row r="137" s="187" customFormat="1" ht="11.25">
      <c r="A137" s="187" t="s">
        <v>240</v>
      </c>
    </row>
    <row r="138" s="187" customFormat="1" ht="11.25">
      <c r="A138" s="187" t="s">
        <v>242</v>
      </c>
    </row>
    <row r="139" s="187" customFormat="1" ht="11.25">
      <c r="A139" s="187" t="s">
        <v>244</v>
      </c>
    </row>
    <row r="141" ht="12.75"/>
    <row r="143" spans="2:10" ht="13.5" thickBot="1">
      <c r="B143" s="50"/>
      <c r="H143" s="121"/>
      <c r="I143" s="121"/>
      <c r="J143" s="121"/>
    </row>
    <row r="144" spans="1:10" ht="13.5" thickBot="1">
      <c r="A144" s="34" t="s">
        <v>74</v>
      </c>
      <c r="H144" s="121"/>
      <c r="I144" s="121"/>
      <c r="J144" s="121"/>
    </row>
    <row r="145" spans="8:10" ht="12.75">
      <c r="H145" s="121"/>
      <c r="I145" s="121"/>
      <c r="J145" s="121"/>
    </row>
    <row r="146" spans="1:5" ht="12.75">
      <c r="A146" s="33" t="s">
        <v>73</v>
      </c>
      <c r="B146" s="33" t="s">
        <v>1</v>
      </c>
      <c r="C146" s="33" t="s">
        <v>2</v>
      </c>
      <c r="D146" s="33" t="s">
        <v>13</v>
      </c>
      <c r="E146" s="33" t="s">
        <v>8</v>
      </c>
    </row>
    <row r="147" spans="1:10" ht="12.75">
      <c r="A147" s="43" t="s">
        <v>10</v>
      </c>
      <c r="B147" s="214">
        <v>0.433849821215733</v>
      </c>
      <c r="C147" s="214">
        <v>0.1871275327771156</v>
      </c>
      <c r="D147" s="214">
        <v>0.1728247914183552</v>
      </c>
      <c r="E147" s="214">
        <f>1-SUM(B147:D147)</f>
        <v>0.20619785458879625</v>
      </c>
      <c r="G147" s="122"/>
      <c r="I147" s="122"/>
      <c r="J147" s="122"/>
    </row>
    <row r="148" spans="1:10" ht="12.75">
      <c r="A148" s="43" t="s">
        <v>11</v>
      </c>
      <c r="B148" s="214">
        <v>0.3907949790794979</v>
      </c>
      <c r="C148" s="214">
        <v>0.12301255230125523</v>
      </c>
      <c r="D148" s="214">
        <v>0.17154811715481172</v>
      </c>
      <c r="E148" s="214">
        <f>1-SUM(B148:D148)</f>
        <v>0.31464435146443526</v>
      </c>
      <c r="G148" s="122"/>
      <c r="I148" s="122"/>
      <c r="J148" s="122"/>
    </row>
    <row r="149" spans="1:10" ht="12.75">
      <c r="A149" s="43" t="s">
        <v>21</v>
      </c>
      <c r="B149" s="214">
        <v>0.22330774598743894</v>
      </c>
      <c r="C149" s="214">
        <v>0.1898115840893231</v>
      </c>
      <c r="D149" s="214">
        <v>0.10327983251919051</v>
      </c>
      <c r="E149" s="214">
        <f>1-SUM(B149:D149)</f>
        <v>0.48360083740404747</v>
      </c>
      <c r="G149" s="122"/>
      <c r="I149" s="122"/>
      <c r="J149" s="122"/>
    </row>
    <row r="150" spans="1:10" ht="12.75">
      <c r="A150" s="43" t="s">
        <v>22</v>
      </c>
      <c r="B150" s="214">
        <v>0.41695501730103807</v>
      </c>
      <c r="C150" s="214">
        <v>0.1314878892733564</v>
      </c>
      <c r="D150" s="214">
        <v>0.11678200692041522</v>
      </c>
      <c r="E150" s="214">
        <f>1-SUM(B150:D150)</f>
        <v>0.3347750865051904</v>
      </c>
      <c r="G150" s="122"/>
      <c r="I150" s="122"/>
      <c r="J150" s="122"/>
    </row>
    <row r="151" spans="1:10" ht="12.75">
      <c r="A151" s="43" t="s">
        <v>12</v>
      </c>
      <c r="B151" s="214">
        <v>0.36483516483516487</v>
      </c>
      <c r="C151" s="214">
        <v>0.13296703296703294</v>
      </c>
      <c r="D151" s="214">
        <v>0.12307692307692306</v>
      </c>
      <c r="E151" s="214">
        <f>1-SUM(B151:D151)</f>
        <v>0.3791208791208791</v>
      </c>
      <c r="G151" s="122"/>
      <c r="I151" s="122"/>
      <c r="J151" s="122"/>
    </row>
    <row r="152" spans="1:10" ht="12.75">
      <c r="A152" s="123"/>
      <c r="B152" s="124"/>
      <c r="C152" s="124"/>
      <c r="D152" s="124"/>
      <c r="E152" s="124"/>
      <c r="G152" s="122"/>
      <c r="I152" s="122"/>
      <c r="J152" s="122"/>
    </row>
    <row r="153" spans="8:10" ht="12.75">
      <c r="H153" s="121"/>
      <c r="I153" s="121"/>
      <c r="J153" s="121"/>
    </row>
    <row r="154" spans="8:10" ht="12.75">
      <c r="H154" s="121"/>
      <c r="I154" s="121"/>
      <c r="J154" s="121"/>
    </row>
    <row r="166" ht="13.5" thickBot="1"/>
    <row r="167" spans="1:4" ht="57" thickBot="1">
      <c r="A167" s="32" t="s">
        <v>62</v>
      </c>
      <c r="B167" s="185" t="s">
        <v>140</v>
      </c>
      <c r="C167" s="185" t="s">
        <v>141</v>
      </c>
      <c r="D167" s="186" t="s">
        <v>142</v>
      </c>
    </row>
    <row r="168" spans="1:4" ht="12.75">
      <c r="A168" s="72" t="s">
        <v>1</v>
      </c>
      <c r="B168" s="215">
        <v>0.3508138696873906</v>
      </c>
      <c r="C168" s="216">
        <f>'Migración por lugar nacimiento'!G13</f>
        <v>0.0004548071995006759</v>
      </c>
      <c r="D168" s="217">
        <f>'Migración por lugar nacimiento'!J14</f>
        <v>0.24924174550474607</v>
      </c>
    </row>
    <row r="169" spans="1:4" ht="12.75">
      <c r="A169" s="77" t="s">
        <v>2</v>
      </c>
      <c r="B169" s="214">
        <v>0.13932105751236581</v>
      </c>
      <c r="C169" s="218">
        <f>'Migración por lugar nacimiento'!G20</f>
        <v>0.0009270153602948212</v>
      </c>
      <c r="D169" s="219">
        <f>'Migración por lugar nacimiento'!J21</f>
        <v>0.02907243629987046</v>
      </c>
    </row>
    <row r="170" spans="1:4" ht="12.75">
      <c r="A170" s="77" t="s">
        <v>13</v>
      </c>
      <c r="B170" s="214">
        <v>0.12407056341076439</v>
      </c>
      <c r="C170" s="218">
        <f>'Migración por lugar nacimiento'!G27</f>
        <v>0.0002608855364616702</v>
      </c>
      <c r="D170" s="219">
        <f>'Migración por lugar nacimiento'!J28</f>
        <v>0.46582846715661325</v>
      </c>
    </row>
    <row r="171" spans="1:4" ht="12.75">
      <c r="A171" s="77" t="s">
        <v>3</v>
      </c>
      <c r="B171" s="214">
        <v>0.03164770505938408</v>
      </c>
      <c r="C171" s="218">
        <f>'Migración por lugar nacimiento'!G34</f>
        <v>0.0002745653512045285</v>
      </c>
      <c r="D171" s="219">
        <f>'Migración por lugar nacimiento'!J35</f>
        <v>0.05776888228228594</v>
      </c>
    </row>
    <row r="172" spans="1:4" ht="12.75">
      <c r="A172" s="77" t="s">
        <v>4</v>
      </c>
      <c r="B172" s="214">
        <v>0.0232955739354619</v>
      </c>
      <c r="C172" s="218">
        <f>'Migración por lugar nacimiento'!G41</f>
        <v>0.00014120727874284442</v>
      </c>
      <c r="D172" s="219">
        <f>'Migración por lugar nacimiento'!J42</f>
        <v>0.013803765181160695</v>
      </c>
    </row>
    <row r="173" spans="1:4" ht="12.75">
      <c r="A173" s="77" t="s">
        <v>14</v>
      </c>
      <c r="B173" s="214">
        <v>0.07339197900962098</v>
      </c>
      <c r="C173" s="218">
        <f>'Migración por lugar nacimiento'!G50</f>
        <v>0.00016151827183775368</v>
      </c>
      <c r="D173" s="219">
        <f>'Migración por lugar nacimiento'!J51</f>
        <v>0.025768406675128513</v>
      </c>
    </row>
    <row r="174" spans="1:4" ht="12.75">
      <c r="A174" s="77" t="s">
        <v>5</v>
      </c>
      <c r="B174" s="214">
        <v>0.016857577871472997</v>
      </c>
      <c r="C174" s="218">
        <f>'Migración por lugar nacimiento'!G57</f>
        <v>0.00015547530746996274</v>
      </c>
      <c r="D174" s="219">
        <f>'Migración por lugar nacimiento'!J58</f>
        <v>0.007772812822693763</v>
      </c>
    </row>
    <row r="175" spans="1:4" ht="12.75">
      <c r="A175" s="77" t="s">
        <v>16</v>
      </c>
      <c r="B175" s="214">
        <v>0.033642488337774064</v>
      </c>
      <c r="C175" s="218">
        <f>'Migración por lugar nacimiento'!G64</f>
        <v>0.00032627042927933667</v>
      </c>
      <c r="D175" s="219">
        <f>'Migración por lugar nacimiento'!J65</f>
        <v>0.031564350375079764</v>
      </c>
    </row>
    <row r="176" spans="1:4" ht="12.75">
      <c r="A176" s="77" t="s">
        <v>17</v>
      </c>
      <c r="B176" s="214">
        <v>0.029240439747012424</v>
      </c>
      <c r="C176" s="218">
        <f>'Migración por lugar nacimiento'!G71</f>
        <v>0.00015699084283071283</v>
      </c>
      <c r="D176" s="219">
        <f>'Migración por lugar nacimiento'!J72</f>
        <v>0.033423185604737025</v>
      </c>
    </row>
    <row r="177" spans="1:4" ht="12.75">
      <c r="A177" s="77" t="s">
        <v>6</v>
      </c>
      <c r="B177" s="214">
        <v>0.06428881135132077</v>
      </c>
      <c r="C177" s="218">
        <f>'Migración por lugar nacimiento'!G78</f>
        <v>0.00035353712351633574</v>
      </c>
      <c r="D177" s="219">
        <f>'Migración por lugar nacimiento'!J79</f>
        <v>0.04558813461641942</v>
      </c>
    </row>
    <row r="178" spans="1:4" ht="12.75">
      <c r="A178" s="77" t="s">
        <v>15</v>
      </c>
      <c r="B178" s="214">
        <v>0.011365098160328031</v>
      </c>
      <c r="C178" s="218">
        <f>'Migración por lugar nacimiento'!G85</f>
        <v>0.00015259660524590677</v>
      </c>
      <c r="D178" s="219">
        <f>'Migración por lugar nacimiento'!J86</f>
        <v>0.011425935335490599</v>
      </c>
    </row>
    <row r="179" spans="1:4" ht="12.75">
      <c r="A179" s="77" t="s">
        <v>7</v>
      </c>
      <c r="B179" s="214">
        <v>0.009224560028789734</v>
      </c>
      <c r="C179" s="218">
        <f>'Migración por lugar nacimiento'!G96</f>
        <v>5.8116234137550315E-05</v>
      </c>
      <c r="D179" s="219">
        <f>'Migración por lugar nacimiento'!J97</f>
        <v>0.01112258352302751</v>
      </c>
    </row>
    <row r="180" spans="1:4" ht="12.75">
      <c r="A180" s="77" t="s">
        <v>8</v>
      </c>
      <c r="B180" s="214">
        <v>0.052503670386530754</v>
      </c>
      <c r="C180" s="218">
        <f>'Migración por lugar nacimiento'!G103</f>
        <v>0.00014763555505525606</v>
      </c>
      <c r="D180" s="219">
        <f>'Migración por lugar nacimiento'!J97</f>
        <v>0.01112258352302751</v>
      </c>
    </row>
    <row r="181" spans="1:4" ht="13.5" thickBot="1">
      <c r="A181" s="93" t="s">
        <v>18</v>
      </c>
      <c r="B181" s="220">
        <v>0.02156552263458408</v>
      </c>
      <c r="C181" s="221"/>
      <c r="D181" s="222"/>
    </row>
  </sheetData>
  <mergeCells count="44">
    <mergeCell ref="A48:B48"/>
    <mergeCell ref="A94:B94"/>
    <mergeCell ref="A4:B4"/>
    <mergeCell ref="E13:E17"/>
    <mergeCell ref="E50:E54"/>
    <mergeCell ref="E57:E61"/>
    <mergeCell ref="E64:E68"/>
    <mergeCell ref="E71:E75"/>
    <mergeCell ref="E78:E82"/>
    <mergeCell ref="E20:E24"/>
    <mergeCell ref="G20:G24"/>
    <mergeCell ref="E41:E45"/>
    <mergeCell ref="G41:G45"/>
    <mergeCell ref="E27:E31"/>
    <mergeCell ref="G27:G31"/>
    <mergeCell ref="G34:G38"/>
    <mergeCell ref="E34:E38"/>
    <mergeCell ref="J28:J30"/>
    <mergeCell ref="J35:J37"/>
    <mergeCell ref="G57:G61"/>
    <mergeCell ref="J14:J16"/>
    <mergeCell ref="J21:J23"/>
    <mergeCell ref="J42:J44"/>
    <mergeCell ref="G50:G54"/>
    <mergeCell ref="J58:J60"/>
    <mergeCell ref="G13:G17"/>
    <mergeCell ref="J65:J67"/>
    <mergeCell ref="J51:J53"/>
    <mergeCell ref="J72:J74"/>
    <mergeCell ref="J79:J81"/>
    <mergeCell ref="G71:G75"/>
    <mergeCell ref="G78:G82"/>
    <mergeCell ref="G64:G68"/>
    <mergeCell ref="E110:E111"/>
    <mergeCell ref="E85:E89"/>
    <mergeCell ref="E96:E100"/>
    <mergeCell ref="G85:G89"/>
    <mergeCell ref="G96:G100"/>
    <mergeCell ref="E103:E107"/>
    <mergeCell ref="G103:G107"/>
    <mergeCell ref="J86:J88"/>
    <mergeCell ref="J97:J99"/>
    <mergeCell ref="J100:J102"/>
    <mergeCell ref="J104:J106"/>
  </mergeCells>
  <printOptions/>
  <pageMargins left="0.75" right="0.75" top="0.45" bottom="0.38" header="0.62" footer="0.5118110236220472"/>
  <pageSetup fitToHeight="5"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R29"/>
  <sheetViews>
    <sheetView zoomScale="85" zoomScaleNormal="85" workbookViewId="0" topLeftCell="A1">
      <selection activeCell="A1" sqref="A1:Q29"/>
    </sheetView>
  </sheetViews>
  <sheetFormatPr defaultColWidth="11.421875" defaultRowHeight="12.75"/>
  <cols>
    <col min="1" max="1" width="12.28125" style="3" customWidth="1"/>
    <col min="2" max="2" width="13.57421875" style="3" customWidth="1"/>
    <col min="3" max="3" width="10.00390625" style="3" customWidth="1"/>
    <col min="4" max="4" width="10.28125" style="3" customWidth="1"/>
    <col min="5" max="5" width="10.7109375" style="3" customWidth="1"/>
    <col min="6" max="6" width="10.00390625" style="3" customWidth="1"/>
    <col min="7" max="7" width="9.140625" style="3" customWidth="1"/>
    <col min="8" max="8" width="10.421875" style="3" customWidth="1"/>
    <col min="9" max="10" width="9.140625" style="3" customWidth="1"/>
    <col min="11" max="11" width="10.7109375" style="3" customWidth="1"/>
    <col min="12" max="16384" width="9.140625" style="3" customWidth="1"/>
  </cols>
  <sheetData>
    <row r="2" ht="12" customHeight="1" thickBot="1"/>
    <row r="3" spans="2:18" ht="17.25" customHeight="1">
      <c r="B3" s="35" t="s">
        <v>75</v>
      </c>
      <c r="C3" s="261" t="s">
        <v>245</v>
      </c>
      <c r="D3" s="261"/>
      <c r="E3" s="261"/>
      <c r="F3" s="261"/>
      <c r="G3" s="261"/>
      <c r="H3" s="261"/>
      <c r="I3" s="261"/>
      <c r="J3" s="261"/>
      <c r="K3" s="261"/>
      <c r="L3" s="261"/>
      <c r="M3" s="261"/>
      <c r="N3" s="261"/>
      <c r="O3" s="261"/>
      <c r="P3" s="261"/>
      <c r="Q3" s="262"/>
      <c r="R3" s="38"/>
    </row>
    <row r="4" spans="2:17" ht="16.5" customHeight="1" thickBot="1">
      <c r="B4" s="36" t="s">
        <v>77</v>
      </c>
      <c r="C4" s="22" t="s">
        <v>23</v>
      </c>
      <c r="D4" s="22" t="s">
        <v>1</v>
      </c>
      <c r="E4" s="22" t="s">
        <v>2</v>
      </c>
      <c r="F4" s="22" t="s">
        <v>13</v>
      </c>
      <c r="G4" s="22" t="s">
        <v>3</v>
      </c>
      <c r="H4" s="22" t="s">
        <v>4</v>
      </c>
      <c r="I4" s="22" t="s">
        <v>14</v>
      </c>
      <c r="J4" s="22" t="s">
        <v>5</v>
      </c>
      <c r="K4" s="22" t="s">
        <v>16</v>
      </c>
      <c r="L4" s="22" t="s">
        <v>17</v>
      </c>
      <c r="M4" s="22" t="s">
        <v>6</v>
      </c>
      <c r="N4" s="22" t="s">
        <v>15</v>
      </c>
      <c r="O4" s="22" t="s">
        <v>7</v>
      </c>
      <c r="P4" s="22" t="s">
        <v>8</v>
      </c>
      <c r="Q4" s="23" t="s">
        <v>9</v>
      </c>
    </row>
    <row r="5" spans="2:17" ht="12.75">
      <c r="B5" s="39">
        <v>1974</v>
      </c>
      <c r="C5" s="40">
        <v>1910</v>
      </c>
      <c r="D5" s="40">
        <v>550</v>
      </c>
      <c r="E5" s="40">
        <v>295</v>
      </c>
      <c r="F5" s="40">
        <v>281</v>
      </c>
      <c r="G5" s="40">
        <v>97</v>
      </c>
      <c r="H5" s="40">
        <v>77</v>
      </c>
      <c r="I5" s="40">
        <v>119</v>
      </c>
      <c r="J5" s="40">
        <v>70</v>
      </c>
      <c r="K5" s="40">
        <v>48</v>
      </c>
      <c r="L5" s="40">
        <v>41</v>
      </c>
      <c r="M5" s="40">
        <v>142</v>
      </c>
      <c r="N5" s="40">
        <v>25</v>
      </c>
      <c r="O5" s="40">
        <v>51</v>
      </c>
      <c r="P5" s="40">
        <f>33+19+42+8+7</f>
        <v>109</v>
      </c>
      <c r="Q5" s="41">
        <v>3815</v>
      </c>
    </row>
    <row r="6" spans="2:17" ht="12.75">
      <c r="B6" s="42">
        <v>1982</v>
      </c>
      <c r="C6" s="43">
        <v>2470</v>
      </c>
      <c r="D6" s="43">
        <v>870</v>
      </c>
      <c r="E6" s="43">
        <v>567</v>
      </c>
      <c r="F6" s="43">
        <v>429</v>
      </c>
      <c r="G6" s="43">
        <v>162</v>
      </c>
      <c r="H6" s="43">
        <v>115</v>
      </c>
      <c r="I6" s="43">
        <v>251</v>
      </c>
      <c r="J6" s="43">
        <v>88</v>
      </c>
      <c r="K6" s="43">
        <v>89</v>
      </c>
      <c r="L6" s="43">
        <v>65</v>
      </c>
      <c r="M6" s="43">
        <v>343</v>
      </c>
      <c r="N6" s="43">
        <v>57</v>
      </c>
      <c r="O6" s="43">
        <v>88</v>
      </c>
      <c r="P6" s="43">
        <f>38+39+95+15+14+13</f>
        <v>214</v>
      </c>
      <c r="Q6" s="44">
        <v>5808</v>
      </c>
    </row>
    <row r="7" spans="2:17" ht="13.5" thickBot="1">
      <c r="B7" s="45">
        <v>1990</v>
      </c>
      <c r="C7" s="46">
        <v>3462</v>
      </c>
      <c r="D7" s="46">
        <v>1834</v>
      </c>
      <c r="E7" s="46">
        <v>871</v>
      </c>
      <c r="F7" s="46">
        <v>699</v>
      </c>
      <c r="G7" s="46">
        <v>189</v>
      </c>
      <c r="H7" s="46">
        <v>176</v>
      </c>
      <c r="I7" s="46">
        <v>464</v>
      </c>
      <c r="J7" s="46">
        <v>136</v>
      </c>
      <c r="K7" s="46">
        <v>193</v>
      </c>
      <c r="L7" s="46">
        <v>182</v>
      </c>
      <c r="M7" s="46">
        <v>446</v>
      </c>
      <c r="N7" s="46">
        <v>67</v>
      </c>
      <c r="O7" s="46">
        <v>99</v>
      </c>
      <c r="P7" s="46">
        <f>48+45+132+24+21+18+6</f>
        <v>294</v>
      </c>
      <c r="Q7" s="47">
        <v>9112</v>
      </c>
    </row>
    <row r="8" ht="13.5" thickBot="1"/>
    <row r="9" spans="1:17" ht="12.75">
      <c r="A9" s="257" t="s">
        <v>78</v>
      </c>
      <c r="B9" s="258"/>
      <c r="C9" s="258"/>
      <c r="D9" s="48">
        <f aca="true" t="shared" si="0" ref="D9:P9">D6-D5</f>
        <v>320</v>
      </c>
      <c r="E9" s="48">
        <f t="shared" si="0"/>
        <v>272</v>
      </c>
      <c r="F9" s="48">
        <f t="shared" si="0"/>
        <v>148</v>
      </c>
      <c r="G9" s="48">
        <f t="shared" si="0"/>
        <v>65</v>
      </c>
      <c r="H9" s="48">
        <f t="shared" si="0"/>
        <v>38</v>
      </c>
      <c r="I9" s="48">
        <f t="shared" si="0"/>
        <v>132</v>
      </c>
      <c r="J9" s="48">
        <f t="shared" si="0"/>
        <v>18</v>
      </c>
      <c r="K9" s="48">
        <f t="shared" si="0"/>
        <v>41</v>
      </c>
      <c r="L9" s="48">
        <f t="shared" si="0"/>
        <v>24</v>
      </c>
      <c r="M9" s="48">
        <f t="shared" si="0"/>
        <v>201</v>
      </c>
      <c r="N9" s="48">
        <f t="shared" si="0"/>
        <v>32</v>
      </c>
      <c r="O9" s="48">
        <f t="shared" si="0"/>
        <v>37</v>
      </c>
      <c r="P9" s="48">
        <f t="shared" si="0"/>
        <v>105</v>
      </c>
      <c r="Q9" s="49">
        <f>Q6-Q5</f>
        <v>1993</v>
      </c>
    </row>
    <row r="10" spans="1:17" ht="12.75">
      <c r="A10" s="263" t="s">
        <v>79</v>
      </c>
      <c r="B10" s="264"/>
      <c r="C10" s="264"/>
      <c r="D10" s="43">
        <f aca="true" t="shared" si="1" ref="D10:P10">D7-D6</f>
        <v>964</v>
      </c>
      <c r="E10" s="43">
        <f t="shared" si="1"/>
        <v>304</v>
      </c>
      <c r="F10" s="43">
        <f t="shared" si="1"/>
        <v>270</v>
      </c>
      <c r="G10" s="43">
        <f t="shared" si="1"/>
        <v>27</v>
      </c>
      <c r="H10" s="43">
        <f t="shared" si="1"/>
        <v>61</v>
      </c>
      <c r="I10" s="43">
        <f t="shared" si="1"/>
        <v>213</v>
      </c>
      <c r="J10" s="43">
        <f t="shared" si="1"/>
        <v>48</v>
      </c>
      <c r="K10" s="43">
        <f t="shared" si="1"/>
        <v>104</v>
      </c>
      <c r="L10" s="43">
        <f t="shared" si="1"/>
        <v>117</v>
      </c>
      <c r="M10" s="43">
        <f t="shared" si="1"/>
        <v>103</v>
      </c>
      <c r="N10" s="43">
        <f t="shared" si="1"/>
        <v>10</v>
      </c>
      <c r="O10" s="43">
        <f t="shared" si="1"/>
        <v>11</v>
      </c>
      <c r="P10" s="43">
        <f t="shared" si="1"/>
        <v>80</v>
      </c>
      <c r="Q10" s="44">
        <f>Q7-Q6</f>
        <v>3304</v>
      </c>
    </row>
    <row r="11" spans="1:17" ht="13.5" thickBot="1">
      <c r="A11" s="259" t="s">
        <v>80</v>
      </c>
      <c r="B11" s="260"/>
      <c r="C11" s="260"/>
      <c r="D11" s="46">
        <f aca="true" t="shared" si="2" ref="D11:Q11">D9+D10</f>
        <v>1284</v>
      </c>
      <c r="E11" s="46">
        <f t="shared" si="2"/>
        <v>576</v>
      </c>
      <c r="F11" s="46">
        <f t="shared" si="2"/>
        <v>418</v>
      </c>
      <c r="G11" s="46">
        <f t="shared" si="2"/>
        <v>92</v>
      </c>
      <c r="H11" s="46">
        <f t="shared" si="2"/>
        <v>99</v>
      </c>
      <c r="I11" s="46">
        <f t="shared" si="2"/>
        <v>345</v>
      </c>
      <c r="J11" s="46">
        <f t="shared" si="2"/>
        <v>66</v>
      </c>
      <c r="K11" s="46">
        <f t="shared" si="2"/>
        <v>145</v>
      </c>
      <c r="L11" s="46">
        <f t="shared" si="2"/>
        <v>141</v>
      </c>
      <c r="M11" s="46">
        <f t="shared" si="2"/>
        <v>304</v>
      </c>
      <c r="N11" s="46">
        <f t="shared" si="2"/>
        <v>42</v>
      </c>
      <c r="O11" s="46">
        <f t="shared" si="2"/>
        <v>48</v>
      </c>
      <c r="P11" s="46">
        <f t="shared" si="2"/>
        <v>185</v>
      </c>
      <c r="Q11" s="47">
        <f t="shared" si="2"/>
        <v>5297</v>
      </c>
    </row>
    <row r="14" ht="13.5" thickBot="1"/>
    <row r="15" spans="2:17" ht="17.25" customHeight="1">
      <c r="B15" s="35" t="s">
        <v>76</v>
      </c>
      <c r="C15" s="261" t="s">
        <v>246</v>
      </c>
      <c r="D15" s="261"/>
      <c r="E15" s="261"/>
      <c r="F15" s="261"/>
      <c r="G15" s="261"/>
      <c r="H15" s="261"/>
      <c r="I15" s="261"/>
      <c r="J15" s="261"/>
      <c r="K15" s="261"/>
      <c r="L15" s="261"/>
      <c r="M15" s="261"/>
      <c r="N15" s="261"/>
      <c r="O15" s="261"/>
      <c r="P15" s="262"/>
      <c r="Q15" s="38"/>
    </row>
    <row r="16" spans="2:16" ht="17.25" customHeight="1" thickBot="1">
      <c r="B16" s="36" t="s">
        <v>77</v>
      </c>
      <c r="C16" s="22" t="s">
        <v>23</v>
      </c>
      <c r="D16" s="22" t="s">
        <v>1</v>
      </c>
      <c r="E16" s="22" t="s">
        <v>2</v>
      </c>
      <c r="F16" s="22" t="s">
        <v>13</v>
      </c>
      <c r="G16" s="22" t="s">
        <v>3</v>
      </c>
      <c r="H16" s="22" t="s">
        <v>4</v>
      </c>
      <c r="I16" s="22" t="s">
        <v>14</v>
      </c>
      <c r="J16" s="22" t="s">
        <v>5</v>
      </c>
      <c r="K16" s="22" t="s">
        <v>16</v>
      </c>
      <c r="L16" s="22" t="s">
        <v>17</v>
      </c>
      <c r="M16" s="22" t="s">
        <v>6</v>
      </c>
      <c r="N16" s="22" t="s">
        <v>15</v>
      </c>
      <c r="O16" s="22" t="s">
        <v>7</v>
      </c>
      <c r="P16" s="23" t="s">
        <v>8</v>
      </c>
    </row>
    <row r="17" spans="2:16" ht="12.75">
      <c r="B17" s="39">
        <v>1974</v>
      </c>
      <c r="C17" s="40">
        <v>1910</v>
      </c>
      <c r="D17" s="40">
        <v>398</v>
      </c>
      <c r="E17" s="40">
        <v>42</v>
      </c>
      <c r="F17" s="40">
        <v>178</v>
      </c>
      <c r="G17" s="40">
        <v>24</v>
      </c>
      <c r="H17" s="40">
        <v>7</v>
      </c>
      <c r="I17" s="40">
        <v>19</v>
      </c>
      <c r="J17" s="40">
        <v>13</v>
      </c>
      <c r="K17" s="40">
        <v>7</v>
      </c>
      <c r="L17" s="40">
        <v>4</v>
      </c>
      <c r="M17" s="40">
        <v>2</v>
      </c>
      <c r="N17" s="40">
        <v>3</v>
      </c>
      <c r="O17" s="40">
        <v>7</v>
      </c>
      <c r="P17" s="41">
        <f>2+5+10+11</f>
        <v>28</v>
      </c>
    </row>
    <row r="18" spans="2:16" ht="12.75">
      <c r="B18" s="42">
        <v>1982</v>
      </c>
      <c r="C18" s="43">
        <v>2470</v>
      </c>
      <c r="D18" s="43">
        <v>552</v>
      </c>
      <c r="E18" s="43">
        <v>33</v>
      </c>
      <c r="F18" s="43">
        <v>312</v>
      </c>
      <c r="G18" s="43">
        <v>30</v>
      </c>
      <c r="H18" s="43">
        <v>8</v>
      </c>
      <c r="I18" s="43">
        <v>18</v>
      </c>
      <c r="J18" s="43">
        <v>9</v>
      </c>
      <c r="K18" s="43">
        <v>15</v>
      </c>
      <c r="L18" s="43">
        <v>9</v>
      </c>
      <c r="M18" s="43">
        <v>9</v>
      </c>
      <c r="N18" s="43">
        <v>3</v>
      </c>
      <c r="O18" s="43">
        <v>11</v>
      </c>
      <c r="P18" s="44">
        <f>2+3+10+9+2</f>
        <v>26</v>
      </c>
    </row>
    <row r="19" spans="2:16" ht="13.5" thickBot="1">
      <c r="B19" s="45">
        <v>1990</v>
      </c>
      <c r="C19" s="46">
        <v>3462</v>
      </c>
      <c r="D19" s="46">
        <v>179</v>
      </c>
      <c r="E19" s="46">
        <v>106</v>
      </c>
      <c r="F19" s="46">
        <v>1185</v>
      </c>
      <c r="G19" s="46">
        <v>178</v>
      </c>
      <c r="H19" s="46">
        <v>43</v>
      </c>
      <c r="I19" s="46">
        <v>85</v>
      </c>
      <c r="J19" s="46">
        <v>32</v>
      </c>
      <c r="K19" s="46">
        <v>87</v>
      </c>
      <c r="L19" s="46">
        <v>105</v>
      </c>
      <c r="M19" s="46">
        <v>145</v>
      </c>
      <c r="N19" s="46">
        <v>40</v>
      </c>
      <c r="O19" s="46">
        <v>24</v>
      </c>
      <c r="P19" s="47">
        <f>11+3+14+13+11</f>
        <v>52</v>
      </c>
    </row>
    <row r="20" ht="13.5" thickBot="1"/>
    <row r="21" spans="1:16" ht="12.75">
      <c r="A21" s="257" t="s">
        <v>81</v>
      </c>
      <c r="B21" s="258"/>
      <c r="C21" s="48">
        <f aca="true" t="shared" si="3" ref="C21:P21">C18-C17</f>
        <v>560</v>
      </c>
      <c r="D21" s="48">
        <f t="shared" si="3"/>
        <v>154</v>
      </c>
      <c r="E21" s="48">
        <f t="shared" si="3"/>
        <v>-9</v>
      </c>
      <c r="F21" s="48">
        <f t="shared" si="3"/>
        <v>134</v>
      </c>
      <c r="G21" s="48">
        <f t="shared" si="3"/>
        <v>6</v>
      </c>
      <c r="H21" s="48">
        <f t="shared" si="3"/>
        <v>1</v>
      </c>
      <c r="I21" s="48">
        <f t="shared" si="3"/>
        <v>-1</v>
      </c>
      <c r="J21" s="48">
        <f t="shared" si="3"/>
        <v>-4</v>
      </c>
      <c r="K21" s="48">
        <f t="shared" si="3"/>
        <v>8</v>
      </c>
      <c r="L21" s="48">
        <f t="shared" si="3"/>
        <v>5</v>
      </c>
      <c r="M21" s="48">
        <f t="shared" si="3"/>
        <v>7</v>
      </c>
      <c r="N21" s="48">
        <f t="shared" si="3"/>
        <v>0</v>
      </c>
      <c r="O21" s="48">
        <f t="shared" si="3"/>
        <v>4</v>
      </c>
      <c r="P21" s="49">
        <f t="shared" si="3"/>
        <v>-2</v>
      </c>
    </row>
    <row r="22" spans="1:16" ht="13.5" thickBot="1">
      <c r="A22" s="259" t="s">
        <v>82</v>
      </c>
      <c r="B22" s="260"/>
      <c r="C22" s="46">
        <f aca="true" t="shared" si="4" ref="C22:P22">C19-C18</f>
        <v>992</v>
      </c>
      <c r="D22" s="46">
        <f t="shared" si="4"/>
        <v>-373</v>
      </c>
      <c r="E22" s="46">
        <f t="shared" si="4"/>
        <v>73</v>
      </c>
      <c r="F22" s="46">
        <f t="shared" si="4"/>
        <v>873</v>
      </c>
      <c r="G22" s="46">
        <f t="shared" si="4"/>
        <v>148</v>
      </c>
      <c r="H22" s="46">
        <f t="shared" si="4"/>
        <v>35</v>
      </c>
      <c r="I22" s="46">
        <f t="shared" si="4"/>
        <v>67</v>
      </c>
      <c r="J22" s="46">
        <f t="shared" si="4"/>
        <v>23</v>
      </c>
      <c r="K22" s="46">
        <f t="shared" si="4"/>
        <v>72</v>
      </c>
      <c r="L22" s="46">
        <f t="shared" si="4"/>
        <v>96</v>
      </c>
      <c r="M22" s="46">
        <f t="shared" si="4"/>
        <v>136</v>
      </c>
      <c r="N22" s="46">
        <f t="shared" si="4"/>
        <v>37</v>
      </c>
      <c r="O22" s="46">
        <f t="shared" si="4"/>
        <v>13</v>
      </c>
      <c r="P22" s="47">
        <f t="shared" si="4"/>
        <v>26</v>
      </c>
    </row>
    <row r="25" ht="12.75">
      <c r="A25" s="207" t="s">
        <v>173</v>
      </c>
    </row>
    <row r="26" s="188" customFormat="1" ht="11.25">
      <c r="A26" s="188" t="s">
        <v>247</v>
      </c>
    </row>
    <row r="27" s="188" customFormat="1" ht="11.25">
      <c r="A27" s="188" t="s">
        <v>248</v>
      </c>
    </row>
    <row r="28" s="188" customFormat="1" ht="11.25">
      <c r="A28" s="188" t="s">
        <v>249</v>
      </c>
    </row>
    <row r="29" s="188" customFormat="1" ht="11.25">
      <c r="A29" s="188" t="s">
        <v>250</v>
      </c>
    </row>
  </sheetData>
  <mergeCells count="7">
    <mergeCell ref="A21:B21"/>
    <mergeCell ref="A22:B22"/>
    <mergeCell ref="C15:P15"/>
    <mergeCell ref="C3:Q3"/>
    <mergeCell ref="A9:C9"/>
    <mergeCell ref="A10:C10"/>
    <mergeCell ref="A11:C11"/>
  </mergeCells>
  <printOptions/>
  <pageMargins left="0.75" right="0.75" top="0.85" bottom="1" header="1.23" footer="0.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2:D110"/>
  <sheetViews>
    <sheetView workbookViewId="0" topLeftCell="A102">
      <selection activeCell="B115" sqref="B115"/>
    </sheetView>
  </sheetViews>
  <sheetFormatPr defaultColWidth="11.421875" defaultRowHeight="12.75"/>
  <cols>
    <col min="1" max="1" width="29.140625" style="3" customWidth="1"/>
    <col min="2" max="2" width="11.7109375" style="3" customWidth="1"/>
    <col min="3" max="3" width="11.140625" style="3" customWidth="1"/>
    <col min="4" max="4" width="11.8515625" style="3" customWidth="1"/>
    <col min="5" max="16384" width="11.421875" style="3" customWidth="1"/>
  </cols>
  <sheetData>
    <row r="1" ht="12.75"/>
    <row r="2" spans="1:3" ht="12.75">
      <c r="A2" s="50" t="s">
        <v>129</v>
      </c>
      <c r="B2" s="50"/>
      <c r="C2" s="50"/>
    </row>
    <row r="3" spans="1:2" ht="5.25" customHeight="1" thickBot="1">
      <c r="A3" s="50"/>
      <c r="B3" s="50"/>
    </row>
    <row r="4" spans="1:4" ht="42.75" customHeight="1">
      <c r="A4" s="26" t="s">
        <v>251</v>
      </c>
      <c r="B4" s="27" t="s">
        <v>113</v>
      </c>
      <c r="C4" s="265" t="s">
        <v>114</v>
      </c>
      <c r="D4" s="266"/>
    </row>
    <row r="5" spans="1:4" ht="18" customHeight="1" thickBot="1">
      <c r="A5" s="19" t="s">
        <v>62</v>
      </c>
      <c r="B5" s="28" t="s">
        <v>77</v>
      </c>
      <c r="C5" s="29" t="s">
        <v>252</v>
      </c>
      <c r="D5" s="30" t="s">
        <v>253</v>
      </c>
    </row>
    <row r="6" spans="1:4" ht="12.75">
      <c r="A6" s="52" t="s">
        <v>23</v>
      </c>
      <c r="B6" s="125">
        <v>1974</v>
      </c>
      <c r="C6" s="223">
        <v>147</v>
      </c>
      <c r="D6" s="127">
        <v>147</v>
      </c>
    </row>
    <row r="7" spans="1:4" ht="12.75">
      <c r="A7" s="57" t="s">
        <v>23</v>
      </c>
      <c r="B7" s="128">
        <v>1982</v>
      </c>
      <c r="C7" s="129">
        <v>0</v>
      </c>
      <c r="D7" s="130">
        <v>0</v>
      </c>
    </row>
    <row r="8" spans="1:4" ht="12.75">
      <c r="A8" s="57" t="s">
        <v>23</v>
      </c>
      <c r="B8" s="128">
        <v>1990</v>
      </c>
      <c r="C8" s="129">
        <v>5458</v>
      </c>
      <c r="D8" s="130">
        <v>5458</v>
      </c>
    </row>
    <row r="9" spans="1:4" ht="13.5" thickBot="1">
      <c r="A9" s="65" t="s">
        <v>23</v>
      </c>
      <c r="B9" s="131">
        <v>1998</v>
      </c>
      <c r="C9" s="132">
        <v>10435</v>
      </c>
      <c r="D9" s="133">
        <v>0</v>
      </c>
    </row>
    <row r="10" spans="1:4" ht="12.75">
      <c r="A10" s="72" t="s">
        <v>1</v>
      </c>
      <c r="B10" s="125">
        <v>1974</v>
      </c>
      <c r="C10" s="126">
        <v>341</v>
      </c>
      <c r="D10" s="127">
        <v>194</v>
      </c>
    </row>
    <row r="11" spans="1:4" ht="12.75">
      <c r="A11" s="77" t="s">
        <v>1</v>
      </c>
      <c r="B11" s="128">
        <v>1982</v>
      </c>
      <c r="C11" s="129">
        <v>475</v>
      </c>
      <c r="D11" s="130">
        <v>334</v>
      </c>
    </row>
    <row r="12" spans="1:4" ht="12.75">
      <c r="A12" s="77" t="s">
        <v>1</v>
      </c>
      <c r="B12" s="128">
        <v>1990</v>
      </c>
      <c r="C12" s="129">
        <v>954</v>
      </c>
      <c r="D12" s="130">
        <v>476</v>
      </c>
    </row>
    <row r="13" spans="1:4" ht="13.5" thickBot="1">
      <c r="A13" s="93" t="s">
        <v>1</v>
      </c>
      <c r="B13" s="131">
        <v>1998</v>
      </c>
      <c r="C13" s="132">
        <v>1226</v>
      </c>
      <c r="D13" s="133">
        <v>0</v>
      </c>
    </row>
    <row r="14" spans="1:4" ht="12.75">
      <c r="A14" s="72" t="s">
        <v>2</v>
      </c>
      <c r="B14" s="125">
        <v>1974</v>
      </c>
      <c r="C14" s="126">
        <v>72</v>
      </c>
      <c r="D14" s="127">
        <v>38</v>
      </c>
    </row>
    <row r="15" spans="1:4" ht="12.75">
      <c r="A15" s="77" t="s">
        <v>2</v>
      </c>
      <c r="B15" s="128">
        <v>1982</v>
      </c>
      <c r="C15" s="129">
        <v>196</v>
      </c>
      <c r="D15" s="130">
        <v>46</v>
      </c>
    </row>
    <row r="16" spans="1:4" ht="12.75">
      <c r="A16" s="77" t="s">
        <v>2</v>
      </c>
      <c r="B16" s="128">
        <v>1990</v>
      </c>
      <c r="C16" s="129">
        <v>317</v>
      </c>
      <c r="D16" s="130">
        <v>94</v>
      </c>
    </row>
    <row r="17" spans="1:4" ht="13.5" thickBot="1">
      <c r="A17" s="93" t="s">
        <v>2</v>
      </c>
      <c r="B17" s="131">
        <v>1998</v>
      </c>
      <c r="C17" s="132">
        <v>378</v>
      </c>
      <c r="D17" s="133">
        <v>0</v>
      </c>
    </row>
    <row r="18" spans="1:4" ht="12.75">
      <c r="A18" s="72" t="s">
        <v>13</v>
      </c>
      <c r="B18" s="125">
        <v>1974</v>
      </c>
      <c r="C18" s="126">
        <v>161</v>
      </c>
      <c r="D18" s="127">
        <v>135</v>
      </c>
    </row>
    <row r="19" spans="1:4" ht="12.75">
      <c r="A19" s="77" t="s">
        <v>13</v>
      </c>
      <c r="B19" s="128">
        <v>1982</v>
      </c>
      <c r="C19" s="129">
        <v>246</v>
      </c>
      <c r="D19" s="130">
        <v>231</v>
      </c>
    </row>
    <row r="20" spans="1:4" ht="12.75">
      <c r="A20" s="77" t="s">
        <v>13</v>
      </c>
      <c r="B20" s="128">
        <v>1990</v>
      </c>
      <c r="C20" s="129">
        <v>430</v>
      </c>
      <c r="D20" s="130">
        <v>294</v>
      </c>
    </row>
    <row r="21" spans="1:4" ht="13.5" thickBot="1">
      <c r="A21" s="93" t="s">
        <v>13</v>
      </c>
      <c r="B21" s="131">
        <v>1998</v>
      </c>
      <c r="C21" s="132">
        <v>505</v>
      </c>
      <c r="D21" s="133">
        <v>0</v>
      </c>
    </row>
    <row r="22" spans="1:4" ht="12.75">
      <c r="A22" s="72" t="s">
        <v>3</v>
      </c>
      <c r="B22" s="125">
        <v>1974</v>
      </c>
      <c r="C22" s="126">
        <v>53</v>
      </c>
      <c r="D22" s="127">
        <v>20</v>
      </c>
    </row>
    <row r="23" spans="1:4" ht="12.75">
      <c r="A23" s="77" t="s">
        <v>3</v>
      </c>
      <c r="B23" s="128">
        <v>1982</v>
      </c>
      <c r="C23" s="129">
        <v>65</v>
      </c>
      <c r="D23" s="130">
        <v>21</v>
      </c>
    </row>
    <row r="24" spans="1:4" ht="12.75">
      <c r="A24" s="77" t="s">
        <v>3</v>
      </c>
      <c r="B24" s="128">
        <v>1990</v>
      </c>
      <c r="C24" s="129">
        <v>54</v>
      </c>
      <c r="D24" s="130">
        <v>33</v>
      </c>
    </row>
    <row r="25" spans="1:4" ht="13.5" thickBot="1">
      <c r="A25" s="93" t="s">
        <v>3</v>
      </c>
      <c r="B25" s="131">
        <v>1998</v>
      </c>
      <c r="C25" s="132">
        <v>103</v>
      </c>
      <c r="D25" s="133">
        <v>0</v>
      </c>
    </row>
    <row r="26" spans="1:4" ht="12.75">
      <c r="A26" s="72" t="s">
        <v>4</v>
      </c>
      <c r="B26" s="125">
        <v>1974</v>
      </c>
      <c r="C26" s="126">
        <v>18</v>
      </c>
      <c r="D26" s="127">
        <v>8</v>
      </c>
    </row>
    <row r="27" spans="1:4" ht="12.75">
      <c r="A27" s="77" t="s">
        <v>4</v>
      </c>
      <c r="B27" s="128">
        <v>1982</v>
      </c>
      <c r="C27" s="129">
        <v>37</v>
      </c>
      <c r="D27" s="130">
        <v>10</v>
      </c>
    </row>
    <row r="28" spans="1:4" ht="12.75">
      <c r="A28" s="77" t="s">
        <v>4</v>
      </c>
      <c r="B28" s="128">
        <v>1990</v>
      </c>
      <c r="C28" s="129">
        <v>37</v>
      </c>
      <c r="D28" s="130">
        <v>25</v>
      </c>
    </row>
    <row r="29" spans="1:4" ht="13.5" thickBot="1">
      <c r="A29" s="93" t="s">
        <v>4</v>
      </c>
      <c r="B29" s="131">
        <v>1998</v>
      </c>
      <c r="C29" s="132">
        <v>60</v>
      </c>
      <c r="D29" s="133">
        <v>0</v>
      </c>
    </row>
    <row r="30" spans="1:4" ht="12.75">
      <c r="A30" s="72" t="s">
        <v>14</v>
      </c>
      <c r="B30" s="125">
        <v>1974</v>
      </c>
      <c r="C30" s="126">
        <v>47</v>
      </c>
      <c r="D30" s="127">
        <v>23</v>
      </c>
    </row>
    <row r="31" spans="1:4" ht="12.75">
      <c r="A31" s="77" t="s">
        <v>14</v>
      </c>
      <c r="B31" s="128">
        <v>1982</v>
      </c>
      <c r="C31" s="129">
        <v>97</v>
      </c>
      <c r="D31" s="130">
        <v>11</v>
      </c>
    </row>
    <row r="32" spans="1:4" ht="12.75">
      <c r="A32" s="77" t="s">
        <v>14</v>
      </c>
      <c r="B32" s="128">
        <v>1990</v>
      </c>
      <c r="C32" s="129">
        <v>93</v>
      </c>
      <c r="D32" s="130">
        <v>54</v>
      </c>
    </row>
    <row r="33" spans="1:4" ht="13.5" thickBot="1">
      <c r="A33" s="93" t="s">
        <v>14</v>
      </c>
      <c r="B33" s="131">
        <v>1998</v>
      </c>
      <c r="C33" s="132">
        <v>149</v>
      </c>
      <c r="D33" s="133">
        <v>0</v>
      </c>
    </row>
    <row r="34" spans="1:4" ht="12.75">
      <c r="A34" s="72" t="s">
        <v>5</v>
      </c>
      <c r="B34" s="125">
        <v>1974</v>
      </c>
      <c r="C34" s="126">
        <v>9</v>
      </c>
      <c r="D34" s="127">
        <v>5</v>
      </c>
    </row>
    <row r="35" spans="1:4" ht="12.75">
      <c r="A35" s="77" t="s">
        <v>5</v>
      </c>
      <c r="B35" s="128">
        <v>1982</v>
      </c>
      <c r="C35" s="129">
        <v>21</v>
      </c>
      <c r="D35" s="130">
        <v>17</v>
      </c>
    </row>
    <row r="36" spans="1:4" ht="12.75">
      <c r="A36" s="77" t="s">
        <v>5</v>
      </c>
      <c r="B36" s="128">
        <v>1990</v>
      </c>
      <c r="C36" s="129">
        <v>43</v>
      </c>
      <c r="D36" s="130">
        <v>15</v>
      </c>
    </row>
    <row r="37" spans="1:4" ht="13.5" thickBot="1">
      <c r="A37" s="93" t="s">
        <v>5</v>
      </c>
      <c r="B37" s="131">
        <v>1998</v>
      </c>
      <c r="C37" s="132">
        <v>51</v>
      </c>
      <c r="D37" s="133">
        <v>0</v>
      </c>
    </row>
    <row r="38" spans="1:4" ht="12.75">
      <c r="A38" s="72" t="s">
        <v>16</v>
      </c>
      <c r="B38" s="125">
        <v>1974</v>
      </c>
      <c r="C38" s="126">
        <v>12</v>
      </c>
      <c r="D38" s="127">
        <v>4</v>
      </c>
    </row>
    <row r="39" spans="1:4" ht="12.75">
      <c r="A39" s="77" t="s">
        <v>16</v>
      </c>
      <c r="B39" s="128">
        <v>1982</v>
      </c>
      <c r="C39" s="129">
        <v>27</v>
      </c>
      <c r="D39" s="130">
        <v>9</v>
      </c>
    </row>
    <row r="40" spans="1:4" ht="12.75">
      <c r="A40" s="77" t="s">
        <v>16</v>
      </c>
      <c r="B40" s="128">
        <v>1990</v>
      </c>
      <c r="C40" s="129">
        <v>57</v>
      </c>
      <c r="D40" s="130">
        <v>19</v>
      </c>
    </row>
    <row r="41" spans="1:4" ht="13.5" thickBot="1">
      <c r="A41" s="93" t="s">
        <v>16</v>
      </c>
      <c r="B41" s="131">
        <v>1998</v>
      </c>
      <c r="C41" s="132">
        <v>109</v>
      </c>
      <c r="D41" s="133">
        <v>0</v>
      </c>
    </row>
    <row r="42" spans="1:4" ht="12.75">
      <c r="A42" s="72" t="s">
        <v>17</v>
      </c>
      <c r="B42" s="125">
        <v>1974</v>
      </c>
      <c r="C42" s="126">
        <v>19</v>
      </c>
      <c r="D42" s="127">
        <v>6</v>
      </c>
    </row>
    <row r="43" spans="1:4" ht="12.75">
      <c r="A43" s="77" t="s">
        <v>17</v>
      </c>
      <c r="B43" s="128">
        <v>1982</v>
      </c>
      <c r="C43" s="129">
        <v>18</v>
      </c>
      <c r="D43" s="130">
        <v>14</v>
      </c>
    </row>
    <row r="44" spans="1:4" ht="12.75">
      <c r="A44" s="77" t="s">
        <v>17</v>
      </c>
      <c r="B44" s="128">
        <v>1990</v>
      </c>
      <c r="C44" s="129">
        <v>57</v>
      </c>
      <c r="D44" s="130">
        <v>24</v>
      </c>
    </row>
    <row r="45" spans="1:4" ht="13.5" thickBot="1">
      <c r="A45" s="93" t="s">
        <v>17</v>
      </c>
      <c r="B45" s="131">
        <v>1998</v>
      </c>
      <c r="C45" s="132">
        <v>57</v>
      </c>
      <c r="D45" s="133">
        <v>0</v>
      </c>
    </row>
    <row r="46" spans="1:4" ht="12.75">
      <c r="A46" s="72" t="s">
        <v>6</v>
      </c>
      <c r="B46" s="125">
        <v>1974</v>
      </c>
      <c r="C46" s="126">
        <v>31</v>
      </c>
      <c r="D46" s="127">
        <v>7</v>
      </c>
    </row>
    <row r="47" spans="1:4" ht="12.75">
      <c r="A47" s="77" t="s">
        <v>6</v>
      </c>
      <c r="B47" s="128">
        <v>1982</v>
      </c>
      <c r="C47" s="129">
        <v>112</v>
      </c>
      <c r="D47" s="130">
        <v>6</v>
      </c>
    </row>
    <row r="48" spans="1:4" ht="12.75">
      <c r="A48" s="77" t="s">
        <v>6</v>
      </c>
      <c r="B48" s="128">
        <v>1990</v>
      </c>
      <c r="C48" s="129">
        <v>95</v>
      </c>
      <c r="D48" s="130">
        <v>29</v>
      </c>
    </row>
    <row r="49" spans="1:4" ht="13.5" thickBot="1">
      <c r="A49" s="93" t="s">
        <v>6</v>
      </c>
      <c r="B49" s="131">
        <v>1998</v>
      </c>
      <c r="C49" s="132">
        <v>145</v>
      </c>
      <c r="D49" s="133">
        <v>0</v>
      </c>
    </row>
    <row r="50" spans="1:4" ht="12.75">
      <c r="A50" s="72" t="s">
        <v>15</v>
      </c>
      <c r="B50" s="125">
        <v>1974</v>
      </c>
      <c r="C50" s="126">
        <v>6</v>
      </c>
      <c r="D50" s="127">
        <v>4</v>
      </c>
    </row>
    <row r="51" spans="1:4" ht="12.75">
      <c r="A51" s="77" t="s">
        <v>15</v>
      </c>
      <c r="B51" s="128">
        <v>1982</v>
      </c>
      <c r="C51" s="129">
        <v>14</v>
      </c>
      <c r="D51" s="130">
        <v>1</v>
      </c>
    </row>
    <row r="52" spans="1:4" ht="12.75">
      <c r="A52" s="77" t="s">
        <v>15</v>
      </c>
      <c r="B52" s="128">
        <v>1990</v>
      </c>
      <c r="C52" s="129">
        <v>21</v>
      </c>
      <c r="D52" s="130">
        <v>10</v>
      </c>
    </row>
    <row r="53" spans="1:4" ht="13.5" thickBot="1">
      <c r="A53" s="93" t="s">
        <v>15</v>
      </c>
      <c r="B53" s="131">
        <v>1998</v>
      </c>
      <c r="C53" s="132">
        <v>27</v>
      </c>
      <c r="D53" s="133">
        <v>0</v>
      </c>
    </row>
    <row r="54" spans="1:4" ht="12.75">
      <c r="A54" s="72" t="s">
        <v>7</v>
      </c>
      <c r="B54" s="125">
        <v>1974</v>
      </c>
      <c r="C54" s="126">
        <v>9</v>
      </c>
      <c r="D54" s="127">
        <v>0</v>
      </c>
    </row>
    <row r="55" spans="1:4" ht="12.75">
      <c r="A55" s="77" t="s">
        <v>7</v>
      </c>
      <c r="B55" s="128">
        <v>1982</v>
      </c>
      <c r="C55" s="129">
        <v>21</v>
      </c>
      <c r="D55" s="130">
        <v>12</v>
      </c>
    </row>
    <row r="56" spans="1:4" ht="12.75">
      <c r="A56" s="77" t="s">
        <v>7</v>
      </c>
      <c r="B56" s="128">
        <v>1990</v>
      </c>
      <c r="C56" s="129">
        <v>22</v>
      </c>
      <c r="D56" s="130">
        <v>19</v>
      </c>
    </row>
    <row r="57" spans="1:4" ht="13.5" thickBot="1">
      <c r="A57" s="93" t="s">
        <v>7</v>
      </c>
      <c r="B57" s="131">
        <v>1998</v>
      </c>
      <c r="C57" s="132">
        <v>20</v>
      </c>
      <c r="D57" s="133">
        <v>0</v>
      </c>
    </row>
    <row r="58" spans="1:4" ht="12.75">
      <c r="A58" s="52" t="s">
        <v>31</v>
      </c>
      <c r="B58" s="125">
        <v>1974</v>
      </c>
      <c r="C58" s="126">
        <v>9</v>
      </c>
      <c r="D58" s="127">
        <v>0</v>
      </c>
    </row>
    <row r="59" spans="1:4" ht="12.75">
      <c r="A59" s="57" t="s">
        <v>31</v>
      </c>
      <c r="B59" s="128">
        <v>1982</v>
      </c>
      <c r="C59" s="129">
        <v>2</v>
      </c>
      <c r="D59" s="130">
        <v>1</v>
      </c>
    </row>
    <row r="60" spans="1:4" ht="12.75">
      <c r="A60" s="57" t="s">
        <v>31</v>
      </c>
      <c r="B60" s="128">
        <v>1990</v>
      </c>
      <c r="C60" s="129">
        <v>6</v>
      </c>
      <c r="D60" s="130">
        <v>14</v>
      </c>
    </row>
    <row r="61" spans="1:4" ht="13.5" thickBot="1">
      <c r="A61" s="65" t="s">
        <v>31</v>
      </c>
      <c r="B61" s="131">
        <v>1998</v>
      </c>
      <c r="C61" s="132">
        <v>8</v>
      </c>
      <c r="D61" s="133">
        <v>0</v>
      </c>
    </row>
    <row r="62" spans="1:4" ht="12.75">
      <c r="A62" s="52" t="s">
        <v>32</v>
      </c>
      <c r="B62" s="125">
        <v>1974</v>
      </c>
      <c r="C62" s="126">
        <v>0</v>
      </c>
      <c r="D62" s="127">
        <v>12</v>
      </c>
    </row>
    <row r="63" spans="1:4" ht="12.75">
      <c r="A63" s="57" t="s">
        <v>32</v>
      </c>
      <c r="B63" s="128">
        <v>1982</v>
      </c>
      <c r="C63" s="129">
        <v>6</v>
      </c>
      <c r="D63" s="130">
        <v>3</v>
      </c>
    </row>
    <row r="64" spans="1:4" ht="12.75">
      <c r="A64" s="57" t="s">
        <v>32</v>
      </c>
      <c r="B64" s="128">
        <v>1990</v>
      </c>
      <c r="C64" s="129">
        <v>10</v>
      </c>
      <c r="D64" s="130">
        <v>1</v>
      </c>
    </row>
    <row r="65" spans="1:4" ht="13.5" thickBot="1">
      <c r="A65" s="65" t="s">
        <v>32</v>
      </c>
      <c r="B65" s="131">
        <v>1998</v>
      </c>
      <c r="C65" s="132">
        <v>4</v>
      </c>
      <c r="D65" s="133">
        <v>0</v>
      </c>
    </row>
    <row r="66" spans="1:4" ht="12.75">
      <c r="A66" s="52" t="s">
        <v>33</v>
      </c>
      <c r="B66" s="125">
        <v>1974</v>
      </c>
      <c r="C66" s="126">
        <v>7</v>
      </c>
      <c r="D66" s="127">
        <v>4</v>
      </c>
    </row>
    <row r="67" spans="1:4" ht="12.75">
      <c r="A67" s="57" t="s">
        <v>33</v>
      </c>
      <c r="B67" s="128">
        <v>1982</v>
      </c>
      <c r="C67" s="129">
        <v>45</v>
      </c>
      <c r="D67" s="130">
        <v>20</v>
      </c>
    </row>
    <row r="68" spans="1:4" ht="12.75">
      <c r="A68" s="57" t="s">
        <v>33</v>
      </c>
      <c r="B68" s="128">
        <v>1990</v>
      </c>
      <c r="C68" s="129">
        <v>35</v>
      </c>
      <c r="D68" s="130">
        <v>14</v>
      </c>
    </row>
    <row r="69" spans="1:4" ht="13.5" thickBot="1">
      <c r="A69" s="65" t="s">
        <v>33</v>
      </c>
      <c r="B69" s="131">
        <v>1998</v>
      </c>
      <c r="C69" s="132">
        <v>47</v>
      </c>
      <c r="D69" s="133">
        <v>0</v>
      </c>
    </row>
    <row r="70" spans="1:4" ht="12.75">
      <c r="A70" s="52" t="s">
        <v>35</v>
      </c>
      <c r="B70" s="125">
        <v>1974</v>
      </c>
      <c r="C70" s="126">
        <v>5</v>
      </c>
      <c r="D70" s="127">
        <v>1</v>
      </c>
    </row>
    <row r="71" spans="1:4" ht="12.75">
      <c r="A71" s="57" t="s">
        <v>35</v>
      </c>
      <c r="B71" s="128">
        <v>1982</v>
      </c>
      <c r="C71" s="129">
        <v>3</v>
      </c>
      <c r="D71" s="130">
        <v>0</v>
      </c>
    </row>
    <row r="72" spans="1:4" ht="12.75">
      <c r="A72" s="57" t="s">
        <v>35</v>
      </c>
      <c r="B72" s="128">
        <v>1990</v>
      </c>
      <c r="C72" s="129">
        <v>5</v>
      </c>
      <c r="D72" s="130">
        <v>4</v>
      </c>
    </row>
    <row r="73" spans="1:4" ht="13.5" thickBot="1">
      <c r="A73" s="65" t="s">
        <v>35</v>
      </c>
      <c r="B73" s="131">
        <v>1998</v>
      </c>
      <c r="C73" s="132">
        <v>10</v>
      </c>
      <c r="D73" s="133">
        <v>0</v>
      </c>
    </row>
    <row r="74" spans="1:4" ht="12.75">
      <c r="A74" s="52" t="s">
        <v>36</v>
      </c>
      <c r="B74" s="125">
        <v>1974</v>
      </c>
      <c r="C74" s="126">
        <v>3</v>
      </c>
      <c r="D74" s="127">
        <v>4</v>
      </c>
    </row>
    <row r="75" spans="1:4" ht="12.75">
      <c r="A75" s="57" t="s">
        <v>36</v>
      </c>
      <c r="B75" s="128">
        <v>1982</v>
      </c>
      <c r="C75" s="129">
        <v>9</v>
      </c>
      <c r="D75" s="130">
        <v>3</v>
      </c>
    </row>
    <row r="76" spans="1:4" ht="12.75">
      <c r="A76" s="57" t="s">
        <v>36</v>
      </c>
      <c r="B76" s="128">
        <v>1990</v>
      </c>
      <c r="C76" s="129">
        <v>27</v>
      </c>
      <c r="D76" s="130">
        <v>19</v>
      </c>
    </row>
    <row r="77" spans="1:4" ht="13.5" thickBot="1">
      <c r="A77" s="65" t="s">
        <v>36</v>
      </c>
      <c r="B77" s="131">
        <v>1998</v>
      </c>
      <c r="C77" s="132">
        <v>22</v>
      </c>
      <c r="D77" s="133">
        <v>0</v>
      </c>
    </row>
    <row r="78" spans="1:4" ht="12.75">
      <c r="A78" s="52" t="s">
        <v>37</v>
      </c>
      <c r="B78" s="125">
        <v>1974</v>
      </c>
      <c r="C78" s="126">
        <v>3</v>
      </c>
      <c r="D78" s="127">
        <v>2</v>
      </c>
    </row>
    <row r="79" spans="1:4" ht="12.75">
      <c r="A79" s="57" t="s">
        <v>37</v>
      </c>
      <c r="B79" s="128">
        <v>1982</v>
      </c>
      <c r="C79" s="129">
        <v>1</v>
      </c>
      <c r="D79" s="130">
        <v>3</v>
      </c>
    </row>
    <row r="80" spans="1:4" ht="12.75">
      <c r="A80" s="57" t="s">
        <v>37</v>
      </c>
      <c r="B80" s="128">
        <v>1990</v>
      </c>
      <c r="C80" s="129">
        <v>4</v>
      </c>
      <c r="D80" s="130">
        <v>1</v>
      </c>
    </row>
    <row r="81" spans="1:4" ht="13.5" thickBot="1">
      <c r="A81" s="65" t="s">
        <v>37</v>
      </c>
      <c r="B81" s="131">
        <v>1998</v>
      </c>
      <c r="C81" s="132">
        <v>18</v>
      </c>
      <c r="D81" s="133">
        <v>0</v>
      </c>
    </row>
    <row r="82" spans="1:4" ht="12.75">
      <c r="A82" s="52" t="s">
        <v>38</v>
      </c>
      <c r="B82" s="125">
        <v>1974</v>
      </c>
      <c r="C82" s="126">
        <v>9</v>
      </c>
      <c r="D82" s="127">
        <v>0</v>
      </c>
    </row>
    <row r="83" spans="1:4" ht="12.75">
      <c r="A83" s="57" t="s">
        <v>38</v>
      </c>
      <c r="B83" s="128">
        <v>1982</v>
      </c>
      <c r="C83" s="129">
        <v>12</v>
      </c>
      <c r="D83" s="130">
        <v>4</v>
      </c>
    </row>
    <row r="84" spans="1:4" ht="12.75">
      <c r="A84" s="57" t="s">
        <v>38</v>
      </c>
      <c r="B84" s="128">
        <v>1990</v>
      </c>
      <c r="C84" s="129">
        <v>5</v>
      </c>
      <c r="D84" s="130">
        <v>8</v>
      </c>
    </row>
    <row r="85" spans="1:4" ht="13.5" thickBot="1">
      <c r="A85" s="65" t="s">
        <v>38</v>
      </c>
      <c r="B85" s="131">
        <v>1998</v>
      </c>
      <c r="C85" s="132">
        <v>25</v>
      </c>
      <c r="D85" s="133">
        <v>0</v>
      </c>
    </row>
    <row r="86" spans="1:4" ht="12.75">
      <c r="A86" s="134" t="s">
        <v>83</v>
      </c>
      <c r="B86" s="125">
        <v>1974</v>
      </c>
      <c r="C86" s="126">
        <v>46</v>
      </c>
      <c r="D86" s="127">
        <v>0</v>
      </c>
    </row>
    <row r="87" spans="1:4" ht="12.75">
      <c r="A87" s="135" t="s">
        <v>83</v>
      </c>
      <c r="B87" s="128">
        <v>1982</v>
      </c>
      <c r="C87" s="129">
        <v>33</v>
      </c>
      <c r="D87" s="130">
        <v>0</v>
      </c>
    </row>
    <row r="88" spans="1:4" ht="12.75">
      <c r="A88" s="135" t="s">
        <v>83</v>
      </c>
      <c r="B88" s="128">
        <v>1990</v>
      </c>
      <c r="C88" s="129">
        <v>50</v>
      </c>
      <c r="D88" s="130">
        <v>2</v>
      </c>
    </row>
    <row r="89" spans="1:4" ht="13.5" thickBot="1">
      <c r="A89" s="136" t="s">
        <v>83</v>
      </c>
      <c r="B89" s="131">
        <v>1998</v>
      </c>
      <c r="C89" s="132">
        <v>779</v>
      </c>
      <c r="D89" s="133">
        <v>0</v>
      </c>
    </row>
    <row r="90" spans="1:4" ht="13.5" customHeight="1">
      <c r="A90" s="134" t="s">
        <v>84</v>
      </c>
      <c r="B90" s="125">
        <v>1974</v>
      </c>
      <c r="C90" s="126">
        <v>1</v>
      </c>
      <c r="D90" s="127">
        <v>3</v>
      </c>
    </row>
    <row r="91" spans="1:4" ht="13.5" customHeight="1">
      <c r="A91" s="135" t="s">
        <v>84</v>
      </c>
      <c r="B91" s="128">
        <v>1982</v>
      </c>
      <c r="C91" s="129">
        <v>7</v>
      </c>
      <c r="D91" s="130">
        <v>10</v>
      </c>
    </row>
    <row r="92" spans="1:4" ht="13.5" customHeight="1">
      <c r="A92" s="135" t="s">
        <v>84</v>
      </c>
      <c r="B92" s="128">
        <v>1990</v>
      </c>
      <c r="C92" s="129">
        <v>7</v>
      </c>
      <c r="D92" s="130">
        <v>22</v>
      </c>
    </row>
    <row r="93" spans="1:4" ht="13.5" customHeight="1" thickBot="1">
      <c r="A93" s="136" t="s">
        <v>84</v>
      </c>
      <c r="B93" s="131">
        <v>1998</v>
      </c>
      <c r="C93" s="132">
        <v>261</v>
      </c>
      <c r="D93" s="133">
        <v>0</v>
      </c>
    </row>
    <row r="94" spans="1:4" ht="12.75">
      <c r="A94" s="72" t="s">
        <v>9</v>
      </c>
      <c r="B94" s="125">
        <v>1974</v>
      </c>
      <c r="C94" s="126">
        <v>1008</v>
      </c>
      <c r="D94" s="127">
        <v>617</v>
      </c>
    </row>
    <row r="95" spans="1:4" ht="12.75">
      <c r="A95" s="77" t="s">
        <v>9</v>
      </c>
      <c r="B95" s="128">
        <v>1982</v>
      </c>
      <c r="C95" s="129">
        <v>1447</v>
      </c>
      <c r="D95" s="130">
        <v>756</v>
      </c>
    </row>
    <row r="96" spans="1:4" ht="12.75">
      <c r="A96" s="77" t="s">
        <v>9</v>
      </c>
      <c r="B96" s="128">
        <v>1990</v>
      </c>
      <c r="C96" s="129">
        <v>2329</v>
      </c>
      <c r="D96" s="130">
        <v>1177</v>
      </c>
    </row>
    <row r="97" spans="1:4" ht="13.5" thickBot="1">
      <c r="A97" s="93" t="s">
        <v>9</v>
      </c>
      <c r="B97" s="131">
        <v>1998</v>
      </c>
      <c r="C97" s="132">
        <v>4004</v>
      </c>
      <c r="D97" s="133">
        <v>0</v>
      </c>
    </row>
    <row r="100" spans="1:4" ht="12.75">
      <c r="A100" s="207" t="s">
        <v>173</v>
      </c>
      <c r="B100" s="31"/>
      <c r="C100" s="31"/>
      <c r="D100" s="31"/>
    </row>
    <row r="101" s="188" customFormat="1" ht="11.25">
      <c r="A101" s="188" t="s">
        <v>262</v>
      </c>
    </row>
    <row r="102" s="187" customFormat="1" ht="11.25">
      <c r="A102" s="206" t="s">
        <v>261</v>
      </c>
    </row>
    <row r="103" s="187" customFormat="1" ht="11.25">
      <c r="A103" s="187" t="s">
        <v>255</v>
      </c>
    </row>
    <row r="104" s="187" customFormat="1" ht="11.25">
      <c r="A104" s="187" t="s">
        <v>254</v>
      </c>
    </row>
    <row r="105" s="187" customFormat="1" ht="11.25">
      <c r="A105" s="187" t="s">
        <v>256</v>
      </c>
    </row>
    <row r="106" s="188" customFormat="1" ht="11.25">
      <c r="A106" s="188" t="s">
        <v>257</v>
      </c>
    </row>
    <row r="107" s="188" customFormat="1" ht="11.25">
      <c r="A107" s="188" t="s">
        <v>258</v>
      </c>
    </row>
    <row r="108" s="188" customFormat="1" ht="11.25">
      <c r="A108" s="188" t="s">
        <v>260</v>
      </c>
    </row>
    <row r="109" s="188" customFormat="1" ht="11.25">
      <c r="A109" s="188" t="s">
        <v>259</v>
      </c>
    </row>
    <row r="110" s="188" customFormat="1" ht="11.25">
      <c r="A110" s="188" t="s">
        <v>165</v>
      </c>
    </row>
  </sheetData>
  <mergeCells count="1">
    <mergeCell ref="C4:D4"/>
  </mergeCells>
  <printOptions/>
  <pageMargins left="1.1" right="0.75" top="0.72" bottom="0.45" header="0.5" footer="0.76"/>
  <pageSetup fitToHeight="2" fitToWidth="1" horizontalDpi="360" verticalDpi="360" orientation="portrait"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Z68"/>
  <sheetViews>
    <sheetView zoomScale="85" zoomScaleNormal="85" workbookViewId="0" topLeftCell="A1">
      <selection activeCell="A1" sqref="A1:AA77"/>
    </sheetView>
  </sheetViews>
  <sheetFormatPr defaultColWidth="11.421875" defaultRowHeight="12.75"/>
  <cols>
    <col min="1" max="1" width="12.7109375" style="3" customWidth="1"/>
    <col min="2" max="3" width="11.8515625" style="3" customWidth="1"/>
    <col min="4" max="5" width="12.140625" style="3" customWidth="1"/>
    <col min="6" max="7" width="11.8515625" style="3" customWidth="1"/>
    <col min="8" max="8" width="12.8515625" style="3" customWidth="1"/>
    <col min="9" max="14" width="11.8515625" style="3" customWidth="1"/>
    <col min="15" max="15" width="13.28125" style="3" customWidth="1"/>
    <col min="16" max="16" width="12.421875" style="3" customWidth="1"/>
    <col min="17" max="17" width="12.7109375" style="3" customWidth="1"/>
    <col min="18" max="18" width="11.00390625" style="3" customWidth="1"/>
    <col min="19" max="19" width="13.57421875" style="3" customWidth="1"/>
    <col min="20" max="20" width="10.57421875" style="3" customWidth="1"/>
    <col min="21" max="21" width="9.7109375" style="3" customWidth="1"/>
    <col min="22" max="22" width="9.140625" style="3" customWidth="1"/>
    <col min="23" max="23" width="11.140625" style="3" customWidth="1"/>
    <col min="24" max="24" width="12.00390625" style="3" customWidth="1"/>
    <col min="25" max="25" width="9.140625" style="3" customWidth="1"/>
    <col min="26" max="26" width="10.421875" style="3" customWidth="1"/>
    <col min="27" max="16384" width="9.140625" style="3" customWidth="1"/>
  </cols>
  <sheetData>
    <row r="1" ht="10.5" customHeight="1" thickBot="1"/>
    <row r="2" spans="1:26" ht="21.75" customHeight="1">
      <c r="A2" s="267" t="s">
        <v>115</v>
      </c>
      <c r="B2" s="243"/>
      <c r="C2" s="243"/>
      <c r="D2" s="243" t="s">
        <v>86</v>
      </c>
      <c r="E2" s="243"/>
      <c r="F2" s="243"/>
      <c r="G2" s="243"/>
      <c r="H2" s="243"/>
      <c r="I2" s="243"/>
      <c r="J2" s="243"/>
      <c r="K2" s="243"/>
      <c r="L2" s="243"/>
      <c r="M2" s="243"/>
      <c r="N2" s="37"/>
      <c r="O2" s="243" t="s">
        <v>94</v>
      </c>
      <c r="P2" s="243"/>
      <c r="Q2" s="243"/>
      <c r="R2" s="243"/>
      <c r="S2" s="243"/>
      <c r="T2" s="243"/>
      <c r="V2" s="244" t="s">
        <v>89</v>
      </c>
      <c r="W2" s="245"/>
      <c r="X2" s="245"/>
      <c r="Y2" s="245"/>
      <c r="Z2" s="268"/>
    </row>
    <row r="3" spans="1:26" s="141" customFormat="1" ht="48.75" customHeight="1" thickBot="1">
      <c r="A3" s="137" t="s">
        <v>85</v>
      </c>
      <c r="B3" s="6" t="s">
        <v>268</v>
      </c>
      <c r="C3" s="6" t="s">
        <v>269</v>
      </c>
      <c r="D3" s="6" t="s">
        <v>270</v>
      </c>
      <c r="E3" s="6" t="s">
        <v>271</v>
      </c>
      <c r="F3" s="6" t="s">
        <v>272</v>
      </c>
      <c r="G3" s="6" t="s">
        <v>274</v>
      </c>
      <c r="H3" s="6" t="s">
        <v>275</v>
      </c>
      <c r="I3" s="6" t="s">
        <v>276</v>
      </c>
      <c r="J3" s="6" t="s">
        <v>277</v>
      </c>
      <c r="K3" s="6" t="s">
        <v>278</v>
      </c>
      <c r="L3" s="6" t="s">
        <v>280</v>
      </c>
      <c r="M3" s="6" t="s">
        <v>281</v>
      </c>
      <c r="N3" s="6" t="s">
        <v>286</v>
      </c>
      <c r="O3" s="6" t="s">
        <v>285</v>
      </c>
      <c r="P3" s="6" t="s">
        <v>291</v>
      </c>
      <c r="Q3" s="6" t="s">
        <v>295</v>
      </c>
      <c r="R3" s="6" t="s">
        <v>87</v>
      </c>
      <c r="S3" s="6" t="s">
        <v>95</v>
      </c>
      <c r="T3" s="6" t="s">
        <v>88</v>
      </c>
      <c r="V3" s="138" t="s">
        <v>77</v>
      </c>
      <c r="W3" s="139" t="s">
        <v>90</v>
      </c>
      <c r="X3" s="139" t="s">
        <v>91</v>
      </c>
      <c r="Y3" s="139" t="s">
        <v>9</v>
      </c>
      <c r="Z3" s="140" t="s">
        <v>92</v>
      </c>
    </row>
    <row r="4" spans="1:26" ht="12.75">
      <c r="A4" s="72" t="s">
        <v>25</v>
      </c>
      <c r="B4" s="126">
        <v>1346</v>
      </c>
      <c r="C4" s="126">
        <v>1346</v>
      </c>
      <c r="D4" s="126">
        <f>'Migración por lugar nacimiento'!C114</f>
        <v>839</v>
      </c>
      <c r="E4" s="126"/>
      <c r="F4" s="110"/>
      <c r="G4" s="110">
        <v>4.1199294384703045</v>
      </c>
      <c r="H4" s="142">
        <v>4.9046026259171205</v>
      </c>
      <c r="I4" s="143"/>
      <c r="J4" s="143">
        <f>(((D4+B4)/B4)^(1/12)-1)*100</f>
        <v>4.1199294384703045</v>
      </c>
      <c r="K4" s="109">
        <f>J4+I4</f>
        <v>4.1199294384703045</v>
      </c>
      <c r="L4" s="109">
        <f>M4-J4-I4</f>
        <v>0.784673187446816</v>
      </c>
      <c r="M4" s="109">
        <f>((B5/B4)^(1/12)-1)*100</f>
        <v>4.9046026259171205</v>
      </c>
      <c r="N4" s="109">
        <f>((C5/C4)^(1/12)-1)*100</f>
        <v>4.9046026259171205</v>
      </c>
      <c r="O4" s="48"/>
      <c r="P4" s="48"/>
      <c r="Q4" s="48"/>
      <c r="R4" s="48"/>
      <c r="S4" s="48"/>
      <c r="T4" s="48"/>
      <c r="V4" s="72">
        <v>1979</v>
      </c>
      <c r="W4" s="48">
        <v>2226</v>
      </c>
      <c r="X4" s="48">
        <v>9539</v>
      </c>
      <c r="Y4" s="48">
        <f aca="true" t="shared" si="0" ref="Y4:Y11">W4+X4</f>
        <v>11765</v>
      </c>
      <c r="Z4" s="49">
        <f aca="true" t="shared" si="1" ref="Z4:Z11">(W4*3+X4*4)/365</f>
        <v>122.83287671232877</v>
      </c>
    </row>
    <row r="5" spans="1:26" ht="12.75">
      <c r="A5" s="77" t="s">
        <v>26</v>
      </c>
      <c r="B5" s="129">
        <v>2391</v>
      </c>
      <c r="C5" s="129">
        <v>2391</v>
      </c>
      <c r="D5" s="129">
        <f>'Migración por lugar nacimiento'!C115</f>
        <v>1195</v>
      </c>
      <c r="E5" s="129">
        <v>732</v>
      </c>
      <c r="F5" s="63">
        <v>1.1847667787177274</v>
      </c>
      <c r="G5" s="63">
        <v>3.4354065470989736</v>
      </c>
      <c r="H5" s="144">
        <v>4.4615817901605626</v>
      </c>
      <c r="I5" s="145">
        <f>-(((E5+B5)/B5)^(1/12)-1)*100</f>
        <v>-2.2506397683812462</v>
      </c>
      <c r="J5" s="145">
        <f>(((D5+B5)/B5)^(1/12)-1)*100</f>
        <v>3.4354065470989736</v>
      </c>
      <c r="K5" s="82">
        <f>J5+I5</f>
        <v>1.1847667787177274</v>
      </c>
      <c r="L5" s="82">
        <f>M5-J5-I5</f>
        <v>3.276815011442835</v>
      </c>
      <c r="M5" s="82">
        <f>((B6/B5)^(1/12)-1)*100</f>
        <v>4.4615817901605626</v>
      </c>
      <c r="N5" s="82">
        <f>((C6/C5)^(1/12)-1)*100</f>
        <v>4.4615817901605626</v>
      </c>
      <c r="O5" s="43"/>
      <c r="P5" s="43"/>
      <c r="Q5" s="43"/>
      <c r="R5" s="43"/>
      <c r="S5" s="43"/>
      <c r="T5" s="43"/>
      <c r="V5" s="77">
        <v>1980</v>
      </c>
      <c r="W5" s="43">
        <v>3980</v>
      </c>
      <c r="X5" s="43">
        <v>13465</v>
      </c>
      <c r="Y5" s="43">
        <f t="shared" si="0"/>
        <v>17445</v>
      </c>
      <c r="Z5" s="44">
        <f t="shared" si="1"/>
        <v>180.27397260273972</v>
      </c>
    </row>
    <row r="6" spans="1:26" ht="12.75">
      <c r="A6" s="77" t="s">
        <v>29</v>
      </c>
      <c r="B6" s="129">
        <v>4037</v>
      </c>
      <c r="C6" s="129">
        <v>4037</v>
      </c>
      <c r="D6" s="129">
        <f>'Migración por lugar nacimiento'!C116</f>
        <v>1433</v>
      </c>
      <c r="E6" s="129">
        <v>303</v>
      </c>
      <c r="F6" s="63">
        <v>2.9614642269754965</v>
      </c>
      <c r="G6" s="63">
        <v>3.870224937870348</v>
      </c>
      <c r="H6" s="144">
        <v>6.121431714592207</v>
      </c>
      <c r="I6" s="145">
        <f>-(((E6+B6)/B6)^(1/8)-1)*100</f>
        <v>-0.9087607108948514</v>
      </c>
      <c r="J6" s="145">
        <f>(((D6+B6)/B6)^(1/8)-1)*100</f>
        <v>3.870224937870348</v>
      </c>
      <c r="K6" s="82">
        <f>J6+I6</f>
        <v>2.9614642269754965</v>
      </c>
      <c r="L6" s="82">
        <f>M6-J6-I6</f>
        <v>2.3747517394594686</v>
      </c>
      <c r="M6" s="82">
        <f aca="true" t="shared" si="2" ref="M6:N8">((B7/B6)^(1/8)-1)*100</f>
        <v>5.336215966434965</v>
      </c>
      <c r="N6" s="82">
        <f t="shared" si="2"/>
        <v>5.336215966434965</v>
      </c>
      <c r="O6" s="43"/>
      <c r="P6" s="43"/>
      <c r="Q6" s="43"/>
      <c r="R6" s="43"/>
      <c r="S6" s="43"/>
      <c r="T6" s="43"/>
      <c r="V6" s="77">
        <v>1981</v>
      </c>
      <c r="W6" s="43">
        <v>4036</v>
      </c>
      <c r="X6" s="43">
        <v>12229</v>
      </c>
      <c r="Y6" s="43">
        <f t="shared" si="0"/>
        <v>16265</v>
      </c>
      <c r="Z6" s="44">
        <f t="shared" si="1"/>
        <v>167.18904109589042</v>
      </c>
    </row>
    <row r="7" spans="1:26" ht="12.75">
      <c r="A7" s="77" t="s">
        <v>27</v>
      </c>
      <c r="B7" s="129">
        <v>6119</v>
      </c>
      <c r="C7" s="129">
        <v>6119</v>
      </c>
      <c r="D7" s="129">
        <f>'Migración por lugar nacimiento'!C117</f>
        <v>2312</v>
      </c>
      <c r="E7" s="129">
        <v>1226</v>
      </c>
      <c r="F7" s="63">
        <v>1.7787815126310447</v>
      </c>
      <c r="G7" s="63">
        <v>4.087800030951483</v>
      </c>
      <c r="H7" s="144">
        <v>6.043742653812401</v>
      </c>
      <c r="I7" s="145">
        <f>-(((E7+B7)/B7)^(1/8)-1)*100</f>
        <v>-2.309018518320438</v>
      </c>
      <c r="J7" s="145">
        <f>(((D7+B7)/B7)^(1/8)-1)*100</f>
        <v>4.087800030951483</v>
      </c>
      <c r="K7" s="82">
        <f>J7+I7</f>
        <v>1.7787815126310447</v>
      </c>
      <c r="L7" s="82">
        <f>M7-J7-I7</f>
        <v>4.264961141181356</v>
      </c>
      <c r="M7" s="82">
        <f t="shared" si="2"/>
        <v>6.043742653812401</v>
      </c>
      <c r="N7" s="82">
        <f t="shared" si="2"/>
        <v>6.043742653812401</v>
      </c>
      <c r="O7" s="43"/>
      <c r="P7" s="43"/>
      <c r="Q7" s="43"/>
      <c r="R7" s="43">
        <v>89447</v>
      </c>
      <c r="S7" s="43">
        <v>123292</v>
      </c>
      <c r="T7" s="43">
        <f>R7+S7</f>
        <v>212739</v>
      </c>
      <c r="V7" s="77">
        <v>1982</v>
      </c>
      <c r="W7" s="43">
        <v>6067</v>
      </c>
      <c r="X7" s="43">
        <v>11056</v>
      </c>
      <c r="Y7" s="43">
        <f t="shared" si="0"/>
        <v>17123</v>
      </c>
      <c r="Z7" s="44">
        <f t="shared" si="1"/>
        <v>171.02739726027397</v>
      </c>
    </row>
    <row r="8" spans="1:26" ht="12.75">
      <c r="A8" s="77" t="s">
        <v>28</v>
      </c>
      <c r="B8" s="129">
        <v>9785</v>
      </c>
      <c r="C8" s="129">
        <v>9785</v>
      </c>
      <c r="D8" s="129">
        <f>'Migración por lugar nacimiento'!C118</f>
        <v>3359.7200000000003</v>
      </c>
      <c r="E8" s="129"/>
      <c r="F8" s="63"/>
      <c r="G8" s="63">
        <v>3.758530821606243</v>
      </c>
      <c r="H8" s="144">
        <v>6.40836716359543</v>
      </c>
      <c r="I8" s="145"/>
      <c r="J8" s="145">
        <f>(((D8+B8)/B8)^(1/8)-1)*100</f>
        <v>3.758530821606243</v>
      </c>
      <c r="K8" s="82">
        <f>J8+I8</f>
        <v>3.758530821606243</v>
      </c>
      <c r="L8" s="82">
        <f>M8-J8-I8</f>
        <v>2.649836341989187</v>
      </c>
      <c r="M8" s="82">
        <f t="shared" si="2"/>
        <v>6.40836716359543</v>
      </c>
      <c r="N8" s="82">
        <f t="shared" si="2"/>
        <v>5.756079054430252</v>
      </c>
      <c r="O8" s="43"/>
      <c r="P8" s="43"/>
      <c r="Q8" s="43"/>
      <c r="R8" s="43">
        <v>112287</v>
      </c>
      <c r="S8" s="43">
        <v>290294</v>
      </c>
      <c r="T8" s="43">
        <f>R8+S8</f>
        <v>402581</v>
      </c>
      <c r="V8" s="77">
        <v>1983</v>
      </c>
      <c r="W8" s="43">
        <v>7254</v>
      </c>
      <c r="X8" s="43">
        <v>10402</v>
      </c>
      <c r="Y8" s="43">
        <f t="shared" si="0"/>
        <v>17656</v>
      </c>
      <c r="Z8" s="44">
        <f t="shared" si="1"/>
        <v>173.6164383561644</v>
      </c>
    </row>
    <row r="9" spans="1:26" ht="13.5" thickBot="1">
      <c r="A9" s="146" t="s">
        <v>34</v>
      </c>
      <c r="B9" s="132">
        <f>16083-O1</f>
        <v>16083</v>
      </c>
      <c r="C9" s="132">
        <f>16083-772</f>
        <v>15311</v>
      </c>
      <c r="D9" s="132"/>
      <c r="E9" s="132"/>
      <c r="F9" s="147"/>
      <c r="G9" s="147"/>
      <c r="H9" s="148">
        <v>5.041185688568817</v>
      </c>
      <c r="I9" s="147"/>
      <c r="J9" s="147"/>
      <c r="K9" s="147"/>
      <c r="L9" s="147"/>
      <c r="M9" s="111">
        <f>((B10/B9)^(1/3)-1)*100</f>
        <v>5.041185688568817</v>
      </c>
      <c r="N9" s="111">
        <v>5.04</v>
      </c>
      <c r="O9" s="46">
        <v>39601</v>
      </c>
      <c r="P9" s="46">
        <v>20501</v>
      </c>
      <c r="Q9" s="46">
        <v>4747</v>
      </c>
      <c r="R9" s="46">
        <v>42072</v>
      </c>
      <c r="S9" s="46">
        <v>160356</v>
      </c>
      <c r="T9" s="46">
        <f>R9+S9</f>
        <v>202428</v>
      </c>
      <c r="V9" s="77">
        <v>1984</v>
      </c>
      <c r="W9" s="43">
        <v>7627</v>
      </c>
      <c r="X9" s="43">
        <v>11231</v>
      </c>
      <c r="Y9" s="43">
        <f t="shared" si="0"/>
        <v>18858</v>
      </c>
      <c r="Z9" s="44">
        <f t="shared" si="1"/>
        <v>185.76712328767124</v>
      </c>
    </row>
    <row r="10" spans="1:26" ht="13.5" thickBot="1">
      <c r="A10" s="149">
        <v>2001</v>
      </c>
      <c r="B10" s="150">
        <f>18640-O1</f>
        <v>18640</v>
      </c>
      <c r="C10" s="151">
        <f>18640-772</f>
        <v>17868</v>
      </c>
      <c r="D10" s="177"/>
      <c r="E10" s="177"/>
      <c r="F10" s="178"/>
      <c r="G10" s="178"/>
      <c r="H10" s="179"/>
      <c r="I10" s="178"/>
      <c r="J10" s="178"/>
      <c r="K10" s="178"/>
      <c r="L10" s="178"/>
      <c r="M10" s="180"/>
      <c r="N10" s="180"/>
      <c r="O10" s="123"/>
      <c r="P10" s="123"/>
      <c r="Q10" s="123"/>
      <c r="R10" s="123"/>
      <c r="S10" s="123"/>
      <c r="T10" s="123"/>
      <c r="V10" s="2">
        <v>1985</v>
      </c>
      <c r="W10" s="181">
        <v>6279</v>
      </c>
      <c r="X10" s="181">
        <v>11561</v>
      </c>
      <c r="Y10" s="181">
        <f t="shared" si="0"/>
        <v>17840</v>
      </c>
      <c r="Z10" s="182">
        <f t="shared" si="1"/>
        <v>178.3041095890411</v>
      </c>
    </row>
    <row r="11" spans="1:26" ht="12.75">
      <c r="A11" s="178"/>
      <c r="B11" s="177"/>
      <c r="C11" s="177"/>
      <c r="D11" s="177"/>
      <c r="E11" s="177"/>
      <c r="F11" s="178"/>
      <c r="G11" s="178"/>
      <c r="H11" s="179"/>
      <c r="I11" s="178"/>
      <c r="J11" s="178"/>
      <c r="K11" s="178"/>
      <c r="L11" s="178"/>
      <c r="M11" s="180"/>
      <c r="N11" s="180"/>
      <c r="O11" s="123"/>
      <c r="P11" s="123"/>
      <c r="Q11" s="123"/>
      <c r="R11" s="123"/>
      <c r="S11" s="123"/>
      <c r="T11" s="123"/>
      <c r="V11" s="2">
        <v>1986</v>
      </c>
      <c r="W11" s="181">
        <v>12126</v>
      </c>
      <c r="X11" s="181">
        <v>13897</v>
      </c>
      <c r="Y11" s="181">
        <f t="shared" si="0"/>
        <v>26023</v>
      </c>
      <c r="Z11" s="182">
        <f t="shared" si="1"/>
        <v>251.96164383561643</v>
      </c>
    </row>
    <row r="12" spans="1:26" ht="12.75">
      <c r="A12" s="178"/>
      <c r="B12" s="177"/>
      <c r="C12" s="177"/>
      <c r="D12" s="177"/>
      <c r="E12" s="177"/>
      <c r="F12" s="178"/>
      <c r="G12" s="178"/>
      <c r="H12" s="179"/>
      <c r="I12" s="178"/>
      <c r="J12" s="178"/>
      <c r="K12" s="178"/>
      <c r="L12" s="178"/>
      <c r="M12" s="180"/>
      <c r="N12" s="180"/>
      <c r="O12" s="123"/>
      <c r="P12" s="123"/>
      <c r="Q12" s="123"/>
      <c r="R12" s="123"/>
      <c r="S12" s="123"/>
      <c r="T12" s="123"/>
      <c r="V12" s="2"/>
      <c r="W12" s="181"/>
      <c r="X12" s="181"/>
      <c r="Y12" s="181"/>
      <c r="Z12" s="182"/>
    </row>
    <row r="13" spans="1:26" ht="12.75">
      <c r="A13" s="224" t="s">
        <v>173</v>
      </c>
      <c r="B13" s="177"/>
      <c r="C13" s="177"/>
      <c r="D13" s="177"/>
      <c r="E13" s="177"/>
      <c r="F13" s="178"/>
      <c r="G13" s="178"/>
      <c r="H13" s="179"/>
      <c r="I13" s="178"/>
      <c r="J13" s="178"/>
      <c r="K13" s="178"/>
      <c r="L13" s="178"/>
      <c r="M13" s="180"/>
      <c r="N13" s="180"/>
      <c r="O13" s="123"/>
      <c r="P13" s="123"/>
      <c r="Q13" s="123"/>
      <c r="R13" s="123"/>
      <c r="S13" s="123"/>
      <c r="T13" s="123"/>
      <c r="V13" s="2"/>
      <c r="W13" s="181"/>
      <c r="X13" s="181"/>
      <c r="Y13" s="181"/>
      <c r="Z13" s="182"/>
    </row>
    <row r="14" spans="1:26" s="188" customFormat="1" ht="11.25">
      <c r="A14" s="188" t="s">
        <v>263</v>
      </c>
      <c r="D14" s="225"/>
      <c r="E14" s="225"/>
      <c r="F14" s="226"/>
      <c r="G14" s="226"/>
      <c r="H14" s="226"/>
      <c r="I14" s="226"/>
      <c r="J14" s="226"/>
      <c r="K14" s="226"/>
      <c r="L14" s="226"/>
      <c r="M14" s="226"/>
      <c r="N14" s="226"/>
      <c r="V14" s="227">
        <v>1987</v>
      </c>
      <c r="W14" s="228">
        <v>17769</v>
      </c>
      <c r="X14" s="228">
        <v>14826</v>
      </c>
      <c r="Y14" s="228">
        <f>W14+X14</f>
        <v>32595</v>
      </c>
      <c r="Z14" s="229">
        <f>(W14*3+X14*4)/365</f>
        <v>308.5232876712329</v>
      </c>
    </row>
    <row r="15" spans="1:26" s="188" customFormat="1" ht="11.25">
      <c r="A15" s="226" t="s">
        <v>266</v>
      </c>
      <c r="B15" s="225"/>
      <c r="C15" s="225"/>
      <c r="D15" s="225"/>
      <c r="E15" s="225"/>
      <c r="F15" s="226"/>
      <c r="G15" s="226"/>
      <c r="H15" s="226"/>
      <c r="I15" s="226"/>
      <c r="J15" s="226"/>
      <c r="K15" s="226"/>
      <c r="L15" s="226"/>
      <c r="M15" s="226"/>
      <c r="N15" s="226"/>
      <c r="V15" s="227">
        <v>1988</v>
      </c>
      <c r="W15" s="228">
        <v>17192</v>
      </c>
      <c r="X15" s="228">
        <v>23553</v>
      </c>
      <c r="Y15" s="228">
        <f>W15+X15</f>
        <v>40745</v>
      </c>
      <c r="Z15" s="229">
        <f>(W15*3+X15*4)/365</f>
        <v>399.41917808219176</v>
      </c>
    </row>
    <row r="16" s="187" customFormat="1" ht="11.25">
      <c r="A16" s="187" t="s">
        <v>264</v>
      </c>
    </row>
    <row r="17" s="187" customFormat="1" ht="11.25">
      <c r="A17" s="187" t="s">
        <v>265</v>
      </c>
    </row>
    <row r="18" s="188" customFormat="1" ht="11.25">
      <c r="A18" s="188" t="s">
        <v>267</v>
      </c>
    </row>
    <row r="19" s="188" customFormat="1" ht="11.25">
      <c r="A19" s="188" t="s">
        <v>165</v>
      </c>
    </row>
    <row r="20" s="188" customFormat="1" ht="11.25">
      <c r="A20" s="188" t="s">
        <v>273</v>
      </c>
    </row>
    <row r="21" s="188" customFormat="1" ht="11.25">
      <c r="A21" s="188" t="s">
        <v>166</v>
      </c>
    </row>
    <row r="22" s="188" customFormat="1" ht="11.25">
      <c r="A22" s="188" t="s">
        <v>167</v>
      </c>
    </row>
    <row r="23" s="188" customFormat="1" ht="11.25">
      <c r="A23" s="188" t="s">
        <v>184</v>
      </c>
    </row>
    <row r="24" s="188" customFormat="1" ht="11.25">
      <c r="A24" s="188" t="s">
        <v>185</v>
      </c>
    </row>
    <row r="25" s="188" customFormat="1" ht="11.25">
      <c r="A25" s="188" t="s">
        <v>279</v>
      </c>
    </row>
    <row r="26" s="188" customFormat="1" ht="11.25">
      <c r="A26" s="188" t="s">
        <v>168</v>
      </c>
    </row>
    <row r="27" s="188" customFormat="1" ht="11.25">
      <c r="A27" s="188" t="s">
        <v>282</v>
      </c>
    </row>
    <row r="28" s="188" customFormat="1" ht="11.25">
      <c r="A28" s="188" t="s">
        <v>283</v>
      </c>
    </row>
    <row r="29" s="188" customFormat="1" ht="11.25">
      <c r="A29" s="188" t="s">
        <v>284</v>
      </c>
    </row>
    <row r="30" s="188" customFormat="1" ht="11.25">
      <c r="A30" s="188" t="s">
        <v>288</v>
      </c>
    </row>
    <row r="31" s="188" customFormat="1" ht="11.25">
      <c r="A31" s="188" t="s">
        <v>290</v>
      </c>
    </row>
    <row r="32" s="188" customFormat="1" ht="11.25">
      <c r="A32" s="188" t="s">
        <v>287</v>
      </c>
    </row>
    <row r="33" s="188" customFormat="1" ht="11.25">
      <c r="A33" s="188" t="s">
        <v>293</v>
      </c>
    </row>
    <row r="34" s="188" customFormat="1" ht="11.25">
      <c r="A34" s="188" t="s">
        <v>289</v>
      </c>
    </row>
    <row r="35" s="188" customFormat="1" ht="11.25">
      <c r="A35" s="188" t="s">
        <v>292</v>
      </c>
    </row>
    <row r="36" s="188" customFormat="1" ht="11.25">
      <c r="A36" s="188" t="s">
        <v>294</v>
      </c>
    </row>
    <row r="37" s="188" customFormat="1" ht="11.25">
      <c r="A37" s="188" t="s">
        <v>296</v>
      </c>
    </row>
    <row r="40" spans="22:26" ht="13.5" thickBot="1">
      <c r="V40" s="77">
        <v>1989</v>
      </c>
      <c r="W40" s="43">
        <v>15133</v>
      </c>
      <c r="X40" s="43">
        <v>26766</v>
      </c>
      <c r="Y40" s="43">
        <f aca="true" t="shared" si="3" ref="Y40:Y49">W40+X40</f>
        <v>41899</v>
      </c>
      <c r="Z40" s="44">
        <f aca="true" t="shared" si="4" ref="Z40:Z49">(W40*3+X40*4)/365</f>
        <v>417.7068493150685</v>
      </c>
    </row>
    <row r="41" spans="1:26" ht="13.5" thickBot="1">
      <c r="A41" s="34" t="s">
        <v>74</v>
      </c>
      <c r="V41" s="77">
        <v>1992</v>
      </c>
      <c r="W41" s="43">
        <v>12855</v>
      </c>
      <c r="X41" s="43">
        <v>26655</v>
      </c>
      <c r="Y41" s="43">
        <f t="shared" si="3"/>
        <v>39510</v>
      </c>
      <c r="Z41" s="44">
        <f t="shared" si="4"/>
        <v>397.7671232876712</v>
      </c>
    </row>
    <row r="42" spans="22:26" ht="12.75">
      <c r="V42" s="77">
        <v>1993</v>
      </c>
      <c r="W42" s="43">
        <v>10136</v>
      </c>
      <c r="X42" s="43">
        <v>36682</v>
      </c>
      <c r="Y42" s="43">
        <f t="shared" si="3"/>
        <v>46818</v>
      </c>
      <c r="Z42" s="44">
        <f t="shared" si="4"/>
        <v>485.3041095890411</v>
      </c>
    </row>
    <row r="43" spans="20:26" ht="12.75">
      <c r="T43" s="123"/>
      <c r="U43" s="123"/>
      <c r="V43" s="77">
        <v>1994</v>
      </c>
      <c r="W43" s="43">
        <v>13357</v>
      </c>
      <c r="X43" s="43">
        <v>40468</v>
      </c>
      <c r="Y43" s="43">
        <f t="shared" si="3"/>
        <v>53825</v>
      </c>
      <c r="Z43" s="44">
        <f t="shared" si="4"/>
        <v>553.2684931506849</v>
      </c>
    </row>
    <row r="44" spans="20:26" ht="12.75">
      <c r="T44" s="123"/>
      <c r="U44" s="123"/>
      <c r="V44" s="77">
        <v>1995</v>
      </c>
      <c r="W44" s="43">
        <v>15483</v>
      </c>
      <c r="X44" s="43">
        <v>40303</v>
      </c>
      <c r="Y44" s="43">
        <f t="shared" si="3"/>
        <v>55786</v>
      </c>
      <c r="Z44" s="44">
        <f t="shared" si="4"/>
        <v>568.9342465753425</v>
      </c>
    </row>
    <row r="45" spans="20:26" ht="12.75">
      <c r="T45" s="123"/>
      <c r="U45" s="123"/>
      <c r="V45" s="77">
        <v>1996</v>
      </c>
      <c r="W45" s="43">
        <v>16113</v>
      </c>
      <c r="X45" s="43">
        <v>45782</v>
      </c>
      <c r="Y45" s="43">
        <f t="shared" si="3"/>
        <v>61895</v>
      </c>
      <c r="Z45" s="44">
        <f t="shared" si="4"/>
        <v>634.1561643835616</v>
      </c>
    </row>
    <row r="46" spans="20:26" ht="12.75">
      <c r="T46" s="123"/>
      <c r="U46" s="123"/>
      <c r="V46" s="77">
        <v>1997</v>
      </c>
      <c r="W46" s="43">
        <v>13979</v>
      </c>
      <c r="X46" s="43">
        <v>48830</v>
      </c>
      <c r="Y46" s="43">
        <f t="shared" si="3"/>
        <v>62809</v>
      </c>
      <c r="Z46" s="44">
        <f t="shared" si="4"/>
        <v>650.0191780821917</v>
      </c>
    </row>
    <row r="47" spans="20:26" ht="12.75">
      <c r="T47" s="123"/>
      <c r="U47" s="123"/>
      <c r="V47" s="77">
        <v>1998</v>
      </c>
      <c r="W47" s="43">
        <v>14440</v>
      </c>
      <c r="X47" s="43">
        <v>50351</v>
      </c>
      <c r="Y47" s="43">
        <f t="shared" si="3"/>
        <v>64791</v>
      </c>
      <c r="Z47" s="44">
        <f t="shared" si="4"/>
        <v>670.4767123287671</v>
      </c>
    </row>
    <row r="48" spans="20:26" ht="12.75">
      <c r="T48" s="123"/>
      <c r="U48" s="123"/>
      <c r="V48" s="77">
        <v>1999</v>
      </c>
      <c r="W48" s="43">
        <v>12601</v>
      </c>
      <c r="X48" s="43">
        <v>53469</v>
      </c>
      <c r="Y48" s="43">
        <f t="shared" si="3"/>
        <v>66070</v>
      </c>
      <c r="Z48" s="44">
        <f t="shared" si="4"/>
        <v>689.5315068493151</v>
      </c>
    </row>
    <row r="49" spans="20:26" ht="13.5" thickBot="1">
      <c r="T49" s="123"/>
      <c r="U49" s="123"/>
      <c r="V49" s="93">
        <v>2000</v>
      </c>
      <c r="W49" s="46">
        <v>15031</v>
      </c>
      <c r="X49" s="46">
        <v>56536</v>
      </c>
      <c r="Y49" s="46">
        <f t="shared" si="3"/>
        <v>71567</v>
      </c>
      <c r="Z49" s="47">
        <f t="shared" si="4"/>
        <v>743.1150684931507</v>
      </c>
    </row>
    <row r="50" spans="20:21" ht="12.75">
      <c r="T50" s="123"/>
      <c r="U50" s="123"/>
    </row>
    <row r="51" spans="20:21" ht="12.75">
      <c r="T51" s="123"/>
      <c r="U51" s="123"/>
    </row>
    <row r="52" spans="20:21" ht="12.75">
      <c r="T52" s="123"/>
      <c r="U52" s="123"/>
    </row>
    <row r="53" spans="20:21" ht="12.75">
      <c r="T53" s="123"/>
      <c r="U53" s="123"/>
    </row>
    <row r="54" spans="20:21" ht="12.75">
      <c r="T54" s="123"/>
      <c r="U54" s="123"/>
    </row>
    <row r="55" spans="20:21" ht="12.75">
      <c r="T55" s="123"/>
      <c r="U55" s="123"/>
    </row>
    <row r="56" spans="20:21" ht="12.75">
      <c r="T56" s="123"/>
      <c r="U56" s="123"/>
    </row>
    <row r="57" spans="20:21" ht="12.75">
      <c r="T57" s="123"/>
      <c r="U57" s="123"/>
    </row>
    <row r="58" spans="20:21" ht="12.75">
      <c r="T58" s="123"/>
      <c r="U58" s="123"/>
    </row>
    <row r="59" spans="20:21" ht="12.75">
      <c r="T59" s="123"/>
      <c r="U59" s="123"/>
    </row>
    <row r="60" spans="20:21" ht="12.75">
      <c r="T60" s="123"/>
      <c r="U60" s="123"/>
    </row>
    <row r="61" spans="1:21" ht="12.75">
      <c r="A61" s="33" t="s">
        <v>77</v>
      </c>
      <c r="B61" s="33" t="s">
        <v>93</v>
      </c>
      <c r="T61" s="123"/>
      <c r="U61" s="123"/>
    </row>
    <row r="62" spans="1:21" ht="12.75">
      <c r="A62" s="58">
        <v>1950</v>
      </c>
      <c r="B62" s="43">
        <v>1346</v>
      </c>
      <c r="T62" s="123"/>
      <c r="U62" s="123"/>
    </row>
    <row r="63" spans="1:21" ht="12.75">
      <c r="A63" s="58">
        <v>1962</v>
      </c>
      <c r="B63" s="43">
        <v>2391</v>
      </c>
      <c r="T63" s="123"/>
      <c r="U63" s="123"/>
    </row>
    <row r="64" spans="1:2" ht="12.75">
      <c r="A64" s="58">
        <v>1974</v>
      </c>
      <c r="B64" s="43">
        <v>4037</v>
      </c>
    </row>
    <row r="65" spans="1:2" ht="12.75">
      <c r="A65" s="58">
        <v>1982</v>
      </c>
      <c r="B65" s="43">
        <v>6119</v>
      </c>
    </row>
    <row r="66" spans="1:14" ht="12.75">
      <c r="A66" s="183">
        <v>1990</v>
      </c>
      <c r="B66" s="60">
        <v>9785</v>
      </c>
      <c r="C66" s="50"/>
      <c r="F66" s="50"/>
      <c r="G66" s="50"/>
      <c r="H66" s="50"/>
      <c r="I66" s="50"/>
      <c r="J66" s="50"/>
      <c r="K66" s="50"/>
      <c r="L66" s="50"/>
      <c r="M66" s="50"/>
      <c r="N66" s="50"/>
    </row>
    <row r="67" spans="1:2" ht="12.75">
      <c r="A67" s="58">
        <v>1998</v>
      </c>
      <c r="B67" s="43">
        <v>15311</v>
      </c>
    </row>
    <row r="68" spans="1:2" ht="12.75">
      <c r="A68" s="58">
        <v>2001</v>
      </c>
      <c r="B68" s="43">
        <v>17868</v>
      </c>
    </row>
  </sheetData>
  <mergeCells count="4">
    <mergeCell ref="A2:C2"/>
    <mergeCell ref="V2:Z2"/>
    <mergeCell ref="D2:M2"/>
    <mergeCell ref="O2:T2"/>
  </mergeCells>
  <printOptions/>
  <pageMargins left="0.75" right="0.75" top="1" bottom="1" header="0.5" footer="0.5"/>
  <pageSetup fitToHeight="3" fitToWidth="3"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dimension ref="A2:EA73"/>
  <sheetViews>
    <sheetView workbookViewId="0" topLeftCell="A1">
      <selection activeCell="A1" sqref="A1:Q73"/>
    </sheetView>
  </sheetViews>
  <sheetFormatPr defaultColWidth="11.421875" defaultRowHeight="12.75"/>
  <cols>
    <col min="1" max="1" width="11.28125" style="0" customWidth="1"/>
    <col min="2" max="2" width="14.140625" style="0" customWidth="1"/>
    <col min="3" max="3" width="17.140625" style="0" customWidth="1"/>
    <col min="4" max="4" width="17.421875" style="0" customWidth="1"/>
    <col min="5" max="5" width="15.421875" style="0" customWidth="1"/>
    <col min="6" max="6" width="18.140625" style="0" customWidth="1"/>
    <col min="7" max="7" width="18.28125" style="0" customWidth="1"/>
    <col min="8" max="8" width="16.8515625" style="0" customWidth="1"/>
    <col min="9" max="9" width="17.57421875" style="0" customWidth="1"/>
    <col min="10" max="10" width="15.00390625" style="0" customWidth="1"/>
    <col min="11" max="11" width="11.8515625" style="0" customWidth="1"/>
    <col min="12" max="12" width="13.57421875" style="0" customWidth="1"/>
    <col min="13" max="15" width="17.57421875" style="0" customWidth="1"/>
    <col min="16" max="16" width="16.8515625" style="0" customWidth="1"/>
    <col min="17" max="17" width="14.8515625" style="0" customWidth="1"/>
    <col min="18" max="131" width="9.140625" style="3" customWidth="1"/>
    <col min="132" max="16384" width="9.140625" style="0" customWidth="1"/>
  </cols>
  <sheetData>
    <row r="1" ht="12.75"/>
    <row r="2" ht="12.75">
      <c r="A2" s="184" t="s">
        <v>117</v>
      </c>
    </row>
    <row r="3" ht="5.25" customHeight="1" thickBot="1"/>
    <row r="4" spans="1:131" s="1" customFormat="1" ht="48.75" customHeight="1">
      <c r="A4" s="14" t="s">
        <v>77</v>
      </c>
      <c r="B4" s="9" t="s">
        <v>145</v>
      </c>
      <c r="C4" s="9" t="s">
        <v>146</v>
      </c>
      <c r="D4" s="9" t="s">
        <v>147</v>
      </c>
      <c r="E4" s="9" t="s">
        <v>148</v>
      </c>
      <c r="F4" s="9" t="s">
        <v>151</v>
      </c>
      <c r="G4" s="9" t="s">
        <v>152</v>
      </c>
      <c r="H4" s="9" t="s">
        <v>153</v>
      </c>
      <c r="I4" s="9" t="s">
        <v>154</v>
      </c>
      <c r="J4" s="269" t="s">
        <v>156</v>
      </c>
      <c r="K4" s="269"/>
      <c r="L4" s="269"/>
      <c r="M4" s="9" t="s">
        <v>158</v>
      </c>
      <c r="N4" s="9" t="s">
        <v>159</v>
      </c>
      <c r="O4" s="9" t="s">
        <v>161</v>
      </c>
      <c r="P4" s="9" t="s">
        <v>162</v>
      </c>
      <c r="Q4" s="15" t="s">
        <v>163</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row>
    <row r="5" spans="1:131" s="1" customFormat="1" ht="48" customHeight="1" thickBot="1">
      <c r="A5" s="5"/>
      <c r="B5" s="6" t="s">
        <v>96</v>
      </c>
      <c r="C5" s="6" t="s">
        <v>97</v>
      </c>
      <c r="D5" s="6" t="s">
        <v>98</v>
      </c>
      <c r="E5" s="6" t="s">
        <v>24</v>
      </c>
      <c r="F5" s="6" t="s">
        <v>119</v>
      </c>
      <c r="G5" s="6" t="s">
        <v>99</v>
      </c>
      <c r="H5" s="6" t="s">
        <v>116</v>
      </c>
      <c r="I5" s="7" t="s">
        <v>118</v>
      </c>
      <c r="J5" s="6" t="s">
        <v>24</v>
      </c>
      <c r="K5" s="6" t="s">
        <v>100</v>
      </c>
      <c r="L5" s="7" t="s">
        <v>101</v>
      </c>
      <c r="M5" s="7" t="s">
        <v>102</v>
      </c>
      <c r="N5" s="7" t="s">
        <v>103</v>
      </c>
      <c r="O5" s="7" t="s">
        <v>104</v>
      </c>
      <c r="P5" s="7" t="s">
        <v>105</v>
      </c>
      <c r="Q5" s="8" t="s">
        <v>106</v>
      </c>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row>
    <row r="6" spans="1:131" s="193" customFormat="1" ht="12">
      <c r="A6" s="189">
        <v>1951</v>
      </c>
      <c r="B6" s="190">
        <v>3402.5</v>
      </c>
      <c r="C6" s="190">
        <v>25.2</v>
      </c>
      <c r="D6" s="190"/>
      <c r="E6" s="190">
        <v>7231</v>
      </c>
      <c r="F6" s="190"/>
      <c r="G6" s="190"/>
      <c r="H6" s="190"/>
      <c r="I6" s="190"/>
      <c r="J6" s="190"/>
      <c r="K6" s="190"/>
      <c r="L6" s="190"/>
      <c r="M6" s="190">
        <v>11.81</v>
      </c>
      <c r="N6" s="190">
        <v>-1.23</v>
      </c>
      <c r="O6" s="190">
        <v>45.34</v>
      </c>
      <c r="P6" s="190">
        <v>0.18</v>
      </c>
      <c r="Q6" s="191">
        <v>17.86</v>
      </c>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row>
    <row r="7" spans="1:131" s="193" customFormat="1" ht="12">
      <c r="A7" s="194">
        <v>1952</v>
      </c>
      <c r="B7" s="195">
        <v>3497.6</v>
      </c>
      <c r="C7" s="195">
        <v>28.1</v>
      </c>
      <c r="D7" s="195">
        <f>(C7-C6)/C6*100</f>
        <v>11.507936507936517</v>
      </c>
      <c r="E7" s="195">
        <v>7841</v>
      </c>
      <c r="F7" s="195"/>
      <c r="G7" s="195"/>
      <c r="H7" s="195"/>
      <c r="I7" s="195"/>
      <c r="J7" s="195"/>
      <c r="K7" s="195"/>
      <c r="L7" s="195"/>
      <c r="M7" s="195">
        <v>3.3</v>
      </c>
      <c r="N7" s="195">
        <v>3.73</v>
      </c>
      <c r="O7" s="195">
        <v>1.64</v>
      </c>
      <c r="P7" s="195">
        <v>0.18</v>
      </c>
      <c r="Q7" s="196">
        <v>17.44</v>
      </c>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row>
    <row r="8" spans="1:131" s="193" customFormat="1" ht="12">
      <c r="A8" s="194">
        <v>1953</v>
      </c>
      <c r="B8" s="195">
        <v>3596.1</v>
      </c>
      <c r="C8" s="195">
        <v>29.1</v>
      </c>
      <c r="D8" s="195">
        <f aca="true" t="shared" si="0" ref="D8:D44">(C8-C7)/C7*100</f>
        <v>3.558718861209964</v>
      </c>
      <c r="E8" s="195">
        <v>7885</v>
      </c>
      <c r="F8" s="195"/>
      <c r="G8" s="195"/>
      <c r="H8" s="195"/>
      <c r="I8" s="195"/>
      <c r="J8" s="195"/>
      <c r="K8" s="195"/>
      <c r="L8" s="195"/>
      <c r="M8" s="195">
        <v>0.48</v>
      </c>
      <c r="N8" s="195">
        <v>-0.68</v>
      </c>
      <c r="O8" s="195">
        <v>2.79</v>
      </c>
      <c r="P8" s="195">
        <v>0.18</v>
      </c>
      <c r="Q8" s="196">
        <v>17.44</v>
      </c>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row>
    <row r="9" spans="1:131" s="193" customFormat="1" ht="12">
      <c r="A9" s="194">
        <v>1954</v>
      </c>
      <c r="B9" s="195">
        <v>3698.7</v>
      </c>
      <c r="C9" s="195">
        <v>31.6</v>
      </c>
      <c r="D9" s="195">
        <f t="shared" si="0"/>
        <v>8.59106529209622</v>
      </c>
      <c r="E9" s="195">
        <v>8390</v>
      </c>
      <c r="F9" s="195"/>
      <c r="G9" s="195"/>
      <c r="H9" s="195"/>
      <c r="I9" s="195"/>
      <c r="J9" s="195"/>
      <c r="K9" s="195"/>
      <c r="L9" s="195"/>
      <c r="M9" s="195">
        <v>3.66</v>
      </c>
      <c r="N9" s="195">
        <v>6.38</v>
      </c>
      <c r="O9" s="195">
        <v>-1.14</v>
      </c>
      <c r="P9" s="195">
        <v>0.19</v>
      </c>
      <c r="Q9" s="196">
        <v>17.42</v>
      </c>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row>
    <row r="10" spans="1:131" s="193" customFormat="1" ht="12">
      <c r="A10" s="194">
        <v>1955</v>
      </c>
      <c r="B10" s="195">
        <v>3806.2</v>
      </c>
      <c r="C10" s="195">
        <v>33.3</v>
      </c>
      <c r="D10" s="195">
        <f t="shared" si="0"/>
        <v>5.379746835443024</v>
      </c>
      <c r="E10" s="195">
        <v>8530</v>
      </c>
      <c r="F10" s="195"/>
      <c r="G10" s="195"/>
      <c r="H10" s="195"/>
      <c r="I10" s="195"/>
      <c r="J10" s="195"/>
      <c r="K10" s="195"/>
      <c r="L10" s="195"/>
      <c r="M10" s="195">
        <v>4.6</v>
      </c>
      <c r="N10" s="195">
        <v>11.67</v>
      </c>
      <c r="O10" s="195">
        <v>-7.37</v>
      </c>
      <c r="P10" s="195">
        <v>0.2</v>
      </c>
      <c r="Q10" s="196">
        <v>17.43</v>
      </c>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row>
    <row r="11" spans="1:131" s="193" customFormat="1" ht="12">
      <c r="A11" s="194">
        <v>1956</v>
      </c>
      <c r="B11" s="195">
        <v>3918.2</v>
      </c>
      <c r="C11" s="195">
        <v>34.4</v>
      </c>
      <c r="D11" s="195">
        <f t="shared" si="0"/>
        <v>3.303303303303308</v>
      </c>
      <c r="E11" s="195">
        <v>8567</v>
      </c>
      <c r="F11" s="195"/>
      <c r="G11" s="195"/>
      <c r="H11" s="195"/>
      <c r="I11" s="195"/>
      <c r="J11" s="195"/>
      <c r="K11" s="195"/>
      <c r="L11" s="195"/>
      <c r="M11" s="195">
        <v>-2.93</v>
      </c>
      <c r="N11" s="195">
        <v>-4.79</v>
      </c>
      <c r="O11" s="195">
        <v>1.87</v>
      </c>
      <c r="P11" s="195">
        <v>0.19</v>
      </c>
      <c r="Q11" s="196">
        <v>18.49</v>
      </c>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row>
    <row r="12" spans="1:131" s="193" customFormat="1" ht="12">
      <c r="A12" s="194">
        <v>1957</v>
      </c>
      <c r="B12" s="195">
        <v>4034.1</v>
      </c>
      <c r="C12" s="195">
        <v>35.7</v>
      </c>
      <c r="D12" s="195">
        <f t="shared" si="0"/>
        <v>3.7790697674418725</v>
      </c>
      <c r="E12" s="195">
        <v>8540</v>
      </c>
      <c r="F12" s="195"/>
      <c r="G12" s="195"/>
      <c r="H12" s="195"/>
      <c r="I12" s="195"/>
      <c r="J12" s="195"/>
      <c r="K12" s="195"/>
      <c r="L12" s="195"/>
      <c r="M12" s="195">
        <v>1.06</v>
      </c>
      <c r="N12" s="195">
        <v>1.68</v>
      </c>
      <c r="O12" s="195">
        <v>1.07</v>
      </c>
      <c r="P12" s="195">
        <v>0.19</v>
      </c>
      <c r="Q12" s="196">
        <v>17.69</v>
      </c>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row>
    <row r="13" spans="1:131" s="193" customFormat="1" ht="12">
      <c r="A13" s="194">
        <v>1958</v>
      </c>
      <c r="B13" s="195">
        <v>4154.7</v>
      </c>
      <c r="C13" s="195">
        <v>36.7</v>
      </c>
      <c r="D13" s="195">
        <f t="shared" si="0"/>
        <v>2.8011204481792715</v>
      </c>
      <c r="E13" s="195">
        <v>8626</v>
      </c>
      <c r="F13" s="195"/>
      <c r="G13" s="195"/>
      <c r="H13" s="195"/>
      <c r="I13" s="195"/>
      <c r="J13" s="195"/>
      <c r="K13" s="195"/>
      <c r="L13" s="195"/>
      <c r="M13" s="195">
        <v>1.05</v>
      </c>
      <c r="N13" s="195">
        <v>0.45</v>
      </c>
      <c r="O13" s="195">
        <v>0.76</v>
      </c>
      <c r="P13" s="195">
        <v>0.2</v>
      </c>
      <c r="Q13" s="196">
        <v>16.71</v>
      </c>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row>
    <row r="14" spans="1:131" s="193" customFormat="1" ht="12">
      <c r="A14" s="194">
        <v>1959</v>
      </c>
      <c r="B14" s="195">
        <v>4280.7</v>
      </c>
      <c r="C14" s="195">
        <v>38.5</v>
      </c>
      <c r="D14" s="195">
        <f t="shared" si="0"/>
        <v>4.9046321525885475</v>
      </c>
      <c r="E14" s="195">
        <v>8785</v>
      </c>
      <c r="F14" s="195"/>
      <c r="G14" s="195"/>
      <c r="H14" s="195"/>
      <c r="I14" s="195"/>
      <c r="J14" s="195"/>
      <c r="K14" s="195"/>
      <c r="L14" s="195"/>
      <c r="M14" s="195">
        <v>-0.3</v>
      </c>
      <c r="N14" s="195">
        <v>-2.54</v>
      </c>
      <c r="O14" s="195">
        <v>3.46</v>
      </c>
      <c r="P14" s="195">
        <v>0.2</v>
      </c>
      <c r="Q14" s="196">
        <v>17.49</v>
      </c>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row>
    <row r="15" spans="1:131" s="193" customFormat="1" ht="12">
      <c r="A15" s="194">
        <v>1960</v>
      </c>
      <c r="B15" s="195">
        <v>4412.9</v>
      </c>
      <c r="C15" s="195">
        <v>40.6</v>
      </c>
      <c r="D15" s="195">
        <f t="shared" si="0"/>
        <v>5.454545454545459</v>
      </c>
      <c r="E15" s="195">
        <v>9011</v>
      </c>
      <c r="F15" s="195"/>
      <c r="G15" s="195"/>
      <c r="H15" s="195"/>
      <c r="I15" s="195"/>
      <c r="J15" s="195"/>
      <c r="K15" s="195"/>
      <c r="L15" s="195"/>
      <c r="M15" s="195">
        <v>0.59</v>
      </c>
      <c r="N15" s="195">
        <v>-1.07</v>
      </c>
      <c r="O15" s="195">
        <v>3.92</v>
      </c>
      <c r="P15" s="195">
        <v>0.2</v>
      </c>
      <c r="Q15" s="196">
        <v>17.61</v>
      </c>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row>
    <row r="16" spans="1:131" s="193" customFormat="1" ht="12">
      <c r="A16" s="194">
        <v>1961</v>
      </c>
      <c r="B16" s="195">
        <v>4551.5</v>
      </c>
      <c r="C16" s="195">
        <v>42.7</v>
      </c>
      <c r="D16" s="195">
        <f t="shared" si="0"/>
        <v>5.172413793103452</v>
      </c>
      <c r="E16" s="195">
        <v>9207</v>
      </c>
      <c r="F16" s="195"/>
      <c r="G16" s="195"/>
      <c r="H16" s="195"/>
      <c r="I16" s="195"/>
      <c r="J16" s="195"/>
      <c r="K16" s="195"/>
      <c r="L16" s="195"/>
      <c r="M16" s="195">
        <v>5.01</v>
      </c>
      <c r="N16" s="195">
        <v>6.5</v>
      </c>
      <c r="O16" s="195">
        <v>3.78</v>
      </c>
      <c r="P16" s="195">
        <v>0.21</v>
      </c>
      <c r="Q16" s="196">
        <v>20.19</v>
      </c>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row>
    <row r="17" spans="1:131" s="193" customFormat="1" ht="12">
      <c r="A17" s="194">
        <v>1962</v>
      </c>
      <c r="B17" s="195">
        <v>4564.1</v>
      </c>
      <c r="C17" s="195">
        <v>44.8</v>
      </c>
      <c r="D17" s="195">
        <f t="shared" si="0"/>
        <v>4.918032786885232</v>
      </c>
      <c r="E17" s="195">
        <v>9388</v>
      </c>
      <c r="F17" s="195"/>
      <c r="G17" s="195"/>
      <c r="H17" s="195"/>
      <c r="I17" s="195"/>
      <c r="J17" s="195"/>
      <c r="K17" s="195"/>
      <c r="L17" s="195"/>
      <c r="M17" s="195">
        <v>1.69</v>
      </c>
      <c r="N17" s="195">
        <v>0.15</v>
      </c>
      <c r="O17" s="195">
        <v>4.72</v>
      </c>
      <c r="P17" s="195">
        <v>0.21</v>
      </c>
      <c r="Q17" s="196">
        <v>22.73</v>
      </c>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row>
    <row r="18" spans="1:131" s="193" customFormat="1" ht="12">
      <c r="A18" s="194">
        <v>1963</v>
      </c>
      <c r="B18" s="195">
        <f>B17*1.0318</f>
        <v>4709.238380000001</v>
      </c>
      <c r="C18" s="195">
        <v>45.7</v>
      </c>
      <c r="D18" s="195">
        <f t="shared" si="0"/>
        <v>2.0089285714285845</v>
      </c>
      <c r="E18" s="195">
        <v>9317</v>
      </c>
      <c r="F18" s="195"/>
      <c r="G18" s="195"/>
      <c r="H18" s="195"/>
      <c r="I18" s="195"/>
      <c r="J18" s="195"/>
      <c r="K18" s="195"/>
      <c r="L18" s="195"/>
      <c r="M18" s="195">
        <v>3.04</v>
      </c>
      <c r="N18" s="195">
        <v>3.63</v>
      </c>
      <c r="O18" s="195">
        <v>1.93</v>
      </c>
      <c r="P18" s="195">
        <v>0.22</v>
      </c>
      <c r="Q18" s="196">
        <v>20.6</v>
      </c>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row>
    <row r="19" spans="1:131" s="193" customFormat="1" ht="12">
      <c r="A19" s="194">
        <v>1964</v>
      </c>
      <c r="B19" s="195">
        <f>B18*1.0318</f>
        <v>4858.992160484001</v>
      </c>
      <c r="C19" s="195">
        <v>49.1</v>
      </c>
      <c r="D19" s="195">
        <f t="shared" si="0"/>
        <v>7.439824945295401</v>
      </c>
      <c r="E19" s="195">
        <v>9726</v>
      </c>
      <c r="F19" s="195"/>
      <c r="G19" s="195"/>
      <c r="H19" s="195"/>
      <c r="I19" s="195"/>
      <c r="J19" s="195"/>
      <c r="K19" s="195"/>
      <c r="L19" s="195"/>
      <c r="M19" s="195">
        <v>1.34</v>
      </c>
      <c r="N19" s="195">
        <v>3.36</v>
      </c>
      <c r="O19" s="195">
        <v>3.91</v>
      </c>
      <c r="P19" s="195">
        <v>0.22</v>
      </c>
      <c r="Q19" s="196">
        <v>18.59</v>
      </c>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row>
    <row r="20" spans="1:131" s="193" customFormat="1" ht="12">
      <c r="A20" s="194">
        <v>1965</v>
      </c>
      <c r="B20" s="195">
        <f aca="true" t="shared" si="1" ref="B20:B28">B19*1.0318</f>
        <v>5013.508111187392</v>
      </c>
      <c r="C20" s="195">
        <v>50.7</v>
      </c>
      <c r="D20" s="195">
        <f t="shared" si="0"/>
        <v>3.258655804480654</v>
      </c>
      <c r="E20" s="195">
        <v>9762</v>
      </c>
      <c r="F20" s="195"/>
      <c r="G20" s="195"/>
      <c r="H20" s="195"/>
      <c r="I20" s="195"/>
      <c r="J20" s="195"/>
      <c r="K20" s="195"/>
      <c r="L20" s="195"/>
      <c r="M20" s="195">
        <v>6.35</v>
      </c>
      <c r="N20" s="195">
        <v>4.74</v>
      </c>
      <c r="O20" s="195">
        <v>4.25</v>
      </c>
      <c r="P20" s="195">
        <v>0.23</v>
      </c>
      <c r="Q20" s="196">
        <v>18.73</v>
      </c>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row>
    <row r="21" spans="1:131" s="193" customFormat="1" ht="12">
      <c r="A21" s="194">
        <v>1966</v>
      </c>
      <c r="B21" s="195">
        <f t="shared" si="1"/>
        <v>5172.937669123152</v>
      </c>
      <c r="C21" s="195">
        <v>51.9</v>
      </c>
      <c r="D21" s="195">
        <f t="shared" si="0"/>
        <v>2.3668639053254354</v>
      </c>
      <c r="E21" s="195">
        <v>9720</v>
      </c>
      <c r="F21" s="195"/>
      <c r="G21" s="195"/>
      <c r="H21" s="195"/>
      <c r="I21" s="195"/>
      <c r="J21" s="195"/>
      <c r="K21" s="195"/>
      <c r="L21" s="195"/>
      <c r="M21" s="195">
        <v>3.73</v>
      </c>
      <c r="N21" s="195">
        <v>4.92</v>
      </c>
      <c r="O21" s="195">
        <v>2.8</v>
      </c>
      <c r="P21" s="195">
        <v>0.24</v>
      </c>
      <c r="Q21" s="196">
        <v>19.75</v>
      </c>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row>
    <row r="22" spans="1:131" s="193" customFormat="1" ht="12">
      <c r="A22" s="194">
        <v>1967</v>
      </c>
      <c r="B22" s="195">
        <f t="shared" si="1"/>
        <v>5337.437087001268</v>
      </c>
      <c r="C22" s="195">
        <v>55.5</v>
      </c>
      <c r="D22" s="195">
        <f t="shared" si="0"/>
        <v>6.936416184971102</v>
      </c>
      <c r="E22" s="195">
        <v>10095</v>
      </c>
      <c r="F22" s="195"/>
      <c r="G22" s="195"/>
      <c r="H22" s="195"/>
      <c r="I22" s="195"/>
      <c r="J22" s="195"/>
      <c r="K22" s="195"/>
      <c r="L22" s="195"/>
      <c r="M22" s="195">
        <v>4.8</v>
      </c>
      <c r="N22" s="195">
        <v>6.41</v>
      </c>
      <c r="O22" s="195">
        <v>2.04</v>
      </c>
      <c r="P22" s="195">
        <v>0.25</v>
      </c>
      <c r="Q22" s="196">
        <v>20.22</v>
      </c>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row>
    <row r="23" spans="1:131" s="193" customFormat="1" ht="12">
      <c r="A23" s="194">
        <v>1968</v>
      </c>
      <c r="B23" s="195">
        <f t="shared" si="1"/>
        <v>5507.167586367908</v>
      </c>
      <c r="C23" s="195">
        <v>57.7</v>
      </c>
      <c r="D23" s="195">
        <f t="shared" si="0"/>
        <v>3.963963963963969</v>
      </c>
      <c r="E23" s="195">
        <v>10207</v>
      </c>
      <c r="F23" s="195"/>
      <c r="G23" s="195"/>
      <c r="H23" s="195"/>
      <c r="I23" s="195"/>
      <c r="J23" s="197">
        <v>1261</v>
      </c>
      <c r="K23" s="197">
        <v>600</v>
      </c>
      <c r="L23" s="195"/>
      <c r="M23" s="195">
        <v>2.97</v>
      </c>
      <c r="N23" s="195">
        <v>3.82</v>
      </c>
      <c r="O23" s="195">
        <v>1.89</v>
      </c>
      <c r="P23" s="195">
        <v>0.26</v>
      </c>
      <c r="Q23" s="196">
        <v>21.7</v>
      </c>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row>
    <row r="24" spans="1:131" s="193" customFormat="1" ht="12">
      <c r="A24" s="194">
        <v>1969</v>
      </c>
      <c r="B24" s="195">
        <f t="shared" si="1"/>
        <v>5682.295515614408</v>
      </c>
      <c r="C24" s="195">
        <v>59.1</v>
      </c>
      <c r="D24" s="195">
        <f t="shared" si="0"/>
        <v>2.4263431542460983</v>
      </c>
      <c r="E24" s="195">
        <v>10151</v>
      </c>
      <c r="F24" s="195"/>
      <c r="G24" s="195"/>
      <c r="H24" s="195"/>
      <c r="I24" s="195"/>
      <c r="J24" s="197">
        <v>1179</v>
      </c>
      <c r="K24" s="197">
        <v>600</v>
      </c>
      <c r="L24" s="195"/>
      <c r="M24" s="195">
        <v>5.22</v>
      </c>
      <c r="N24" s="195">
        <v>7.81</v>
      </c>
      <c r="O24" s="195">
        <v>1.74</v>
      </c>
      <c r="P24" s="195">
        <v>0.28</v>
      </c>
      <c r="Q24" s="196">
        <v>22.02</v>
      </c>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row>
    <row r="25" spans="1:131" s="193" customFormat="1" ht="12">
      <c r="A25" s="194">
        <v>1970</v>
      </c>
      <c r="B25" s="195">
        <f t="shared" si="1"/>
        <v>5862.992513010947</v>
      </c>
      <c r="C25" s="195">
        <v>62.9</v>
      </c>
      <c r="D25" s="195">
        <f t="shared" si="0"/>
        <v>6.4297800338409425</v>
      </c>
      <c r="E25" s="195">
        <v>10503</v>
      </c>
      <c r="F25" s="195">
        <v>1629</v>
      </c>
      <c r="G25" s="195">
        <v>273</v>
      </c>
      <c r="H25" s="195"/>
      <c r="I25" s="195"/>
      <c r="J25" s="197">
        <v>1079</v>
      </c>
      <c r="K25" s="197">
        <v>600</v>
      </c>
      <c r="L25" s="195"/>
      <c r="M25" s="195">
        <v>5.6</v>
      </c>
      <c r="N25" s="195">
        <v>3.52</v>
      </c>
      <c r="O25" s="195">
        <v>7.18</v>
      </c>
      <c r="P25" s="195">
        <v>0.29</v>
      </c>
      <c r="Q25" s="196">
        <v>23.17</v>
      </c>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row>
    <row r="26" spans="1:131" s="193" customFormat="1" ht="12">
      <c r="A26" s="194">
        <v>1971</v>
      </c>
      <c r="B26" s="195">
        <f t="shared" si="1"/>
        <v>6049.435674924695</v>
      </c>
      <c r="C26" s="195">
        <v>66.9</v>
      </c>
      <c r="D26" s="195">
        <f t="shared" si="0"/>
        <v>6.359300476947547</v>
      </c>
      <c r="E26" s="195">
        <v>10847</v>
      </c>
      <c r="F26" s="195">
        <v>1602</v>
      </c>
      <c r="G26" s="195">
        <v>261</v>
      </c>
      <c r="H26" s="195"/>
      <c r="I26" s="195"/>
      <c r="J26" s="197">
        <v>1250</v>
      </c>
      <c r="K26" s="197">
        <v>750</v>
      </c>
      <c r="L26" s="195"/>
      <c r="M26" s="195">
        <v>9.5</v>
      </c>
      <c r="N26" s="195">
        <v>7.8</v>
      </c>
      <c r="O26" s="195">
        <v>11</v>
      </c>
      <c r="P26" s="195">
        <v>0.32</v>
      </c>
      <c r="Q26" s="196">
        <v>25.48</v>
      </c>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row>
    <row r="27" spans="1:131" s="193" customFormat="1" ht="12">
      <c r="A27" s="194">
        <v>1972</v>
      </c>
      <c r="B27" s="195">
        <f t="shared" si="1"/>
        <v>6241.807729387301</v>
      </c>
      <c r="C27" s="195">
        <v>76.5</v>
      </c>
      <c r="D27" s="195">
        <f t="shared" si="0"/>
        <v>14.349775784753355</v>
      </c>
      <c r="E27" s="195">
        <v>12063</v>
      </c>
      <c r="F27" s="195">
        <v>1874</v>
      </c>
      <c r="G27" s="195">
        <v>296</v>
      </c>
      <c r="H27" s="195"/>
      <c r="I27" s="195"/>
      <c r="J27" s="197">
        <v>1244</v>
      </c>
      <c r="K27" s="197">
        <v>750</v>
      </c>
      <c r="L27" s="195"/>
      <c r="M27" s="195">
        <v>7.67</v>
      </c>
      <c r="N27" s="195">
        <v>10.2</v>
      </c>
      <c r="O27" s="195">
        <v>6.04</v>
      </c>
      <c r="P27" s="195">
        <v>0.34</v>
      </c>
      <c r="Q27" s="196">
        <v>26.17</v>
      </c>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row>
    <row r="28" spans="1:131" s="193" customFormat="1" ht="12">
      <c r="A28" s="194">
        <v>1973</v>
      </c>
      <c r="B28" s="195">
        <f t="shared" si="1"/>
        <v>6440.297215181818</v>
      </c>
      <c r="C28" s="195">
        <v>95.9</v>
      </c>
      <c r="D28" s="195">
        <f t="shared" si="0"/>
        <v>25.359477124183016</v>
      </c>
      <c r="E28" s="195">
        <v>14694</v>
      </c>
      <c r="F28" s="195">
        <v>2489</v>
      </c>
      <c r="G28" s="195">
        <v>382</v>
      </c>
      <c r="H28" s="195"/>
      <c r="I28" s="195"/>
      <c r="J28" s="197">
        <v>1179</v>
      </c>
      <c r="K28" s="197">
        <v>750</v>
      </c>
      <c r="L28" s="195"/>
      <c r="M28" s="195">
        <v>11.96</v>
      </c>
      <c r="N28" s="195">
        <v>17.26</v>
      </c>
      <c r="O28" s="195">
        <v>5.69</v>
      </c>
      <c r="P28" s="195">
        <v>0.38</v>
      </c>
      <c r="Q28" s="196">
        <v>24.88</v>
      </c>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row>
    <row r="29" spans="1:131" s="193" customFormat="1" ht="12">
      <c r="A29" s="194">
        <v>1974</v>
      </c>
      <c r="B29" s="195">
        <v>6521.17</v>
      </c>
      <c r="C29" s="195">
        <v>102</v>
      </c>
      <c r="D29" s="195">
        <f t="shared" si="0"/>
        <v>6.360792492179347</v>
      </c>
      <c r="E29" s="195">
        <v>15201</v>
      </c>
      <c r="F29" s="195">
        <v>3711</v>
      </c>
      <c r="G29" s="195">
        <v>553</v>
      </c>
      <c r="H29" s="195"/>
      <c r="I29" s="195"/>
      <c r="J29" s="197">
        <v>1099</v>
      </c>
      <c r="K29" s="197">
        <v>1000</v>
      </c>
      <c r="L29" s="195"/>
      <c r="M29" s="195">
        <v>22.73</v>
      </c>
      <c r="N29" s="195">
        <v>31.16</v>
      </c>
      <c r="O29" s="195">
        <v>11.98</v>
      </c>
      <c r="P29" s="195">
        <v>0.47</v>
      </c>
      <c r="Q29" s="196">
        <v>25.02</v>
      </c>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row>
    <row r="30" spans="1:131" s="193" customFormat="1" ht="12">
      <c r="A30" s="194">
        <v>1975</v>
      </c>
      <c r="B30" s="195">
        <f>B29*1.02922</f>
        <v>6711.718587400001</v>
      </c>
      <c r="C30" s="195">
        <v>107.7</v>
      </c>
      <c r="D30" s="195">
        <f t="shared" si="0"/>
        <v>5.58823529411765</v>
      </c>
      <c r="E30" s="195">
        <v>15598</v>
      </c>
      <c r="F30" s="195">
        <v>4310</v>
      </c>
      <c r="G30" s="195">
        <v>624</v>
      </c>
      <c r="H30" s="195"/>
      <c r="I30" s="195"/>
      <c r="J30" s="197">
        <v>1250</v>
      </c>
      <c r="K30" s="197">
        <v>1250</v>
      </c>
      <c r="L30" s="195"/>
      <c r="M30" s="195">
        <v>15.37</v>
      </c>
      <c r="N30" s="195">
        <v>17.73</v>
      </c>
      <c r="O30" s="195">
        <v>15.65</v>
      </c>
      <c r="P30" s="195">
        <v>0.54</v>
      </c>
      <c r="Q30" s="196">
        <v>25.3</v>
      </c>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row>
    <row r="31" spans="1:131" s="193" customFormat="1" ht="12">
      <c r="A31" s="194">
        <v>1976</v>
      </c>
      <c r="B31" s="195">
        <f aca="true" t="shared" si="2" ref="B31:B36">B30*1.02922</f>
        <v>6907.8350045238285</v>
      </c>
      <c r="C31" s="195">
        <v>117.7</v>
      </c>
      <c r="D31" s="195">
        <f t="shared" si="0"/>
        <v>9.285051067780872</v>
      </c>
      <c r="E31" s="195">
        <v>16643</v>
      </c>
      <c r="F31" s="195">
        <v>5317</v>
      </c>
      <c r="G31" s="195">
        <v>748</v>
      </c>
      <c r="H31" s="195"/>
      <c r="I31" s="195"/>
      <c r="J31" s="197">
        <v>1329</v>
      </c>
      <c r="K31" s="197">
        <v>1500</v>
      </c>
      <c r="L31" s="195"/>
      <c r="M31" s="195">
        <v>10.54</v>
      </c>
      <c r="N31" s="195">
        <v>9.9</v>
      </c>
      <c r="O31" s="195">
        <v>12.23</v>
      </c>
      <c r="P31" s="195">
        <v>0.6</v>
      </c>
      <c r="Q31" s="196">
        <v>26.74</v>
      </c>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row>
    <row r="32" spans="1:131" s="193" customFormat="1" ht="12">
      <c r="A32" s="194">
        <v>1977</v>
      </c>
      <c r="B32" s="195">
        <f t="shared" si="2"/>
        <v>7109.681943356015</v>
      </c>
      <c r="C32" s="195">
        <v>125.4</v>
      </c>
      <c r="D32" s="195">
        <f t="shared" si="0"/>
        <v>6.542056074766357</v>
      </c>
      <c r="E32" s="195">
        <v>17319</v>
      </c>
      <c r="F32" s="195">
        <v>6655</v>
      </c>
      <c r="G32" s="195">
        <v>910</v>
      </c>
      <c r="H32" s="195"/>
      <c r="I32" s="195"/>
      <c r="J32" s="197">
        <v>1135</v>
      </c>
      <c r="K32" s="197">
        <v>1500</v>
      </c>
      <c r="L32" s="195"/>
      <c r="M32" s="195">
        <v>12.92</v>
      </c>
      <c r="N32" s="195">
        <v>14.55</v>
      </c>
      <c r="O32" s="195">
        <v>13.27</v>
      </c>
      <c r="P32" s="195">
        <v>0.68</v>
      </c>
      <c r="Q32" s="196">
        <v>27.33</v>
      </c>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row>
    <row r="33" spans="1:131" s="193" customFormat="1" ht="12">
      <c r="A33" s="194">
        <v>1978</v>
      </c>
      <c r="B33" s="195">
        <f t="shared" si="2"/>
        <v>7317.4268497408775</v>
      </c>
      <c r="C33" s="195">
        <v>133.6</v>
      </c>
      <c r="D33" s="195">
        <f t="shared" si="0"/>
        <v>6.539074960127582</v>
      </c>
      <c r="E33" s="195">
        <v>18033</v>
      </c>
      <c r="F33" s="195">
        <v>7654</v>
      </c>
      <c r="G33" s="195">
        <v>1017</v>
      </c>
      <c r="H33" s="195"/>
      <c r="I33" s="195"/>
      <c r="J33" s="197">
        <v>1047</v>
      </c>
      <c r="K33" s="197">
        <v>1500</v>
      </c>
      <c r="L33" s="195"/>
      <c r="M33" s="195">
        <v>13.59</v>
      </c>
      <c r="N33" s="195">
        <v>12.63</v>
      </c>
      <c r="O33" s="195">
        <v>14.89</v>
      </c>
      <c r="P33" s="195">
        <v>0.77</v>
      </c>
      <c r="Q33" s="196">
        <v>26.76</v>
      </c>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row>
    <row r="34" spans="1:131" s="193" customFormat="1" ht="12">
      <c r="A34" s="194">
        <v>1979</v>
      </c>
      <c r="B34" s="195">
        <f t="shared" si="2"/>
        <v>7531.242062290306</v>
      </c>
      <c r="C34" s="195">
        <v>140.7</v>
      </c>
      <c r="D34" s="195">
        <f t="shared" si="0"/>
        <v>5.314371257485026</v>
      </c>
      <c r="E34" s="195">
        <v>18550</v>
      </c>
      <c r="F34" s="195">
        <v>9359</v>
      </c>
      <c r="G34" s="195">
        <v>1209</v>
      </c>
      <c r="H34" s="195"/>
      <c r="I34" s="195"/>
      <c r="J34" s="197">
        <v>1199</v>
      </c>
      <c r="K34" s="197">
        <v>2000</v>
      </c>
      <c r="L34" s="195"/>
      <c r="M34" s="195">
        <v>10.11</v>
      </c>
      <c r="N34" s="195">
        <v>9.64</v>
      </c>
      <c r="O34" s="195">
        <v>9.86</v>
      </c>
      <c r="P34" s="195">
        <v>0.85</v>
      </c>
      <c r="Q34" s="196">
        <v>27.62</v>
      </c>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row>
    <row r="35" spans="1:131" s="193" customFormat="1" ht="12">
      <c r="A35" s="194">
        <v>1980</v>
      </c>
      <c r="B35" s="195">
        <f t="shared" si="2"/>
        <v>7751.30495535043</v>
      </c>
      <c r="C35" s="195">
        <v>147.6</v>
      </c>
      <c r="D35" s="195">
        <f t="shared" si="0"/>
        <v>4.904051172707893</v>
      </c>
      <c r="E35" s="195">
        <v>19009</v>
      </c>
      <c r="F35" s="195">
        <v>11733</v>
      </c>
      <c r="G35" s="195">
        <v>1474</v>
      </c>
      <c r="H35" s="195"/>
      <c r="I35" s="195"/>
      <c r="J35" s="197">
        <v>1999</v>
      </c>
      <c r="K35" s="197">
        <v>4000</v>
      </c>
      <c r="L35" s="197">
        <v>5502.7</v>
      </c>
      <c r="M35" s="195">
        <v>12.61</v>
      </c>
      <c r="N35" s="195">
        <v>9.81</v>
      </c>
      <c r="O35" s="195">
        <v>16.36</v>
      </c>
      <c r="P35" s="195">
        <v>0.96</v>
      </c>
      <c r="Q35" s="196">
        <v>27.78</v>
      </c>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row>
    <row r="36" spans="1:131" s="193" customFormat="1" ht="12">
      <c r="A36" s="194">
        <v>1981</v>
      </c>
      <c r="B36" s="195">
        <f t="shared" si="2"/>
        <v>7977.798086145769</v>
      </c>
      <c r="C36" s="195">
        <v>153.4</v>
      </c>
      <c r="D36" s="195">
        <f t="shared" si="0"/>
        <v>3.929539295392962</v>
      </c>
      <c r="E36" s="195">
        <v>19301</v>
      </c>
      <c r="F36" s="195">
        <v>13946</v>
      </c>
      <c r="G36" s="195">
        <v>1704</v>
      </c>
      <c r="H36" s="195"/>
      <c r="I36" s="195"/>
      <c r="J36" s="197">
        <v>1758</v>
      </c>
      <c r="K36" s="197">
        <v>4000</v>
      </c>
      <c r="L36" s="197">
        <v>5683.2</v>
      </c>
      <c r="M36" s="195">
        <v>14.73</v>
      </c>
      <c r="N36" s="195">
        <v>13.21</v>
      </c>
      <c r="O36" s="195">
        <v>15.56</v>
      </c>
      <c r="P36" s="195">
        <v>1.1</v>
      </c>
      <c r="Q36" s="196">
        <v>31.3</v>
      </c>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row>
    <row r="37" spans="1:131" s="193" customFormat="1" ht="12">
      <c r="A37" s="194">
        <v>1982</v>
      </c>
      <c r="B37" s="195">
        <v>8138.97</v>
      </c>
      <c r="C37" s="195">
        <v>155.3</v>
      </c>
      <c r="D37" s="195">
        <f t="shared" si="0"/>
        <v>1.238591916558022</v>
      </c>
      <c r="E37" s="195">
        <v>19077</v>
      </c>
      <c r="F37" s="195">
        <v>13354</v>
      </c>
      <c r="G37" s="195">
        <v>1588</v>
      </c>
      <c r="H37" s="195"/>
      <c r="I37" s="195"/>
      <c r="J37" s="197">
        <v>1708</v>
      </c>
      <c r="K37" s="197">
        <v>4600</v>
      </c>
      <c r="L37" s="197">
        <v>5915</v>
      </c>
      <c r="M37" s="195">
        <v>16.34</v>
      </c>
      <c r="N37" s="195">
        <v>17.14</v>
      </c>
      <c r="O37" s="195">
        <v>15.21</v>
      </c>
      <c r="P37" s="195">
        <v>1.28</v>
      </c>
      <c r="Q37" s="196">
        <v>51</v>
      </c>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row>
    <row r="38" spans="1:131" s="193" customFormat="1" ht="12">
      <c r="A38" s="194">
        <v>1983</v>
      </c>
      <c r="B38" s="195">
        <f>B37*1.024</f>
        <v>8334.30528</v>
      </c>
      <c r="C38" s="195">
        <v>150.9</v>
      </c>
      <c r="D38" s="195">
        <f>D40</f>
        <v>4.38931297709924</v>
      </c>
      <c r="E38" s="195">
        <v>18149</v>
      </c>
      <c r="F38" s="195">
        <v>11114</v>
      </c>
      <c r="G38" s="195">
        <v>1287</v>
      </c>
      <c r="H38" s="195"/>
      <c r="I38" s="195">
        <v>52.4</v>
      </c>
      <c r="J38" s="197">
        <v>1515</v>
      </c>
      <c r="K38" s="197">
        <v>5600</v>
      </c>
      <c r="L38" s="197">
        <v>7699</v>
      </c>
      <c r="M38" s="195">
        <v>48.39</v>
      </c>
      <c r="N38" s="195">
        <v>77.9</v>
      </c>
      <c r="O38" s="195">
        <v>20.13</v>
      </c>
      <c r="P38" s="195">
        <v>1.89</v>
      </c>
      <c r="Q38" s="196">
        <v>84.8</v>
      </c>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row>
    <row r="39" spans="1:131" s="193" customFormat="1" ht="12">
      <c r="A39" s="194">
        <v>1984</v>
      </c>
      <c r="B39" s="195">
        <f aca="true" t="shared" si="3" ref="B39:B44">B38*1.024</f>
        <v>8534.32860672</v>
      </c>
      <c r="C39" s="195">
        <v>157.2</v>
      </c>
      <c r="D39" s="195">
        <f t="shared" si="0"/>
        <v>4.1749502982107245</v>
      </c>
      <c r="E39" s="195">
        <v>18513</v>
      </c>
      <c r="F39" s="195">
        <v>11510</v>
      </c>
      <c r="G39" s="195">
        <v>1298</v>
      </c>
      <c r="H39" s="195"/>
      <c r="I39" s="195">
        <v>25</v>
      </c>
      <c r="J39" s="197">
        <v>1289</v>
      </c>
      <c r="K39" s="197">
        <v>6600</v>
      </c>
      <c r="L39" s="197">
        <v>10033.4</v>
      </c>
      <c r="M39" s="195">
        <v>31.2</v>
      </c>
      <c r="N39" s="195">
        <v>36.99</v>
      </c>
      <c r="O39" s="195">
        <v>22.75</v>
      </c>
      <c r="P39" s="195">
        <v>2.48</v>
      </c>
      <c r="Q39" s="196">
        <v>98.7</v>
      </c>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row>
    <row r="40" spans="1:131" s="193" customFormat="1" ht="12">
      <c r="A40" s="194">
        <v>1985</v>
      </c>
      <c r="B40" s="195">
        <f t="shared" si="3"/>
        <v>8739.15249328128</v>
      </c>
      <c r="C40" s="195">
        <v>164.1</v>
      </c>
      <c r="D40" s="195">
        <f t="shared" si="0"/>
        <v>4.38931297709924</v>
      </c>
      <c r="E40" s="195">
        <v>18911</v>
      </c>
      <c r="F40" s="195">
        <v>11890</v>
      </c>
      <c r="G40" s="195">
        <v>1307</v>
      </c>
      <c r="H40" s="195"/>
      <c r="I40" s="195">
        <v>24.3</v>
      </c>
      <c r="J40" s="197">
        <v>1272</v>
      </c>
      <c r="K40" s="197">
        <v>8500</v>
      </c>
      <c r="L40" s="197">
        <v>12853.8</v>
      </c>
      <c r="M40" s="195">
        <v>28.01</v>
      </c>
      <c r="N40" s="195">
        <v>30.7</v>
      </c>
      <c r="O40" s="195">
        <v>15.09</v>
      </c>
      <c r="P40" s="195">
        <v>3.18</v>
      </c>
      <c r="Q40" s="196">
        <v>117.3</v>
      </c>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row>
    <row r="41" spans="1:131" s="193" customFormat="1" ht="12">
      <c r="A41" s="194">
        <v>1986</v>
      </c>
      <c r="B41" s="195">
        <f t="shared" si="3"/>
        <v>8948.892153120032</v>
      </c>
      <c r="C41" s="195">
        <v>169.1</v>
      </c>
      <c r="D41" s="195">
        <f t="shared" si="0"/>
        <v>3.0469226081657528</v>
      </c>
      <c r="E41" s="195">
        <v>19087</v>
      </c>
      <c r="F41" s="195">
        <v>10515</v>
      </c>
      <c r="G41" s="195">
        <v>1127</v>
      </c>
      <c r="H41" s="195"/>
      <c r="I41" s="195">
        <v>27.3</v>
      </c>
      <c r="J41" s="197">
        <v>1500</v>
      </c>
      <c r="K41" s="197">
        <v>12000</v>
      </c>
      <c r="L41" s="197">
        <v>16851.9</v>
      </c>
      <c r="M41" s="195">
        <v>23.02</v>
      </c>
      <c r="N41" s="195">
        <v>23.2</v>
      </c>
      <c r="O41" s="195">
        <v>17.27</v>
      </c>
      <c r="P41" s="195">
        <v>3.91</v>
      </c>
      <c r="Q41" s="196">
        <v>152.5</v>
      </c>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row>
    <row r="42" spans="1:131" s="193" customFormat="1" ht="12">
      <c r="A42" s="194">
        <v>1987</v>
      </c>
      <c r="B42" s="195">
        <f t="shared" si="3"/>
        <v>9163.665564794914</v>
      </c>
      <c r="C42" s="195">
        <v>159</v>
      </c>
      <c r="D42" s="195">
        <f>D40</f>
        <v>4.38931297709924</v>
      </c>
      <c r="E42" s="195">
        <v>17567</v>
      </c>
      <c r="F42" s="195">
        <v>9450</v>
      </c>
      <c r="G42" s="195">
        <v>988</v>
      </c>
      <c r="H42" s="195"/>
      <c r="I42" s="195">
        <v>32.5</v>
      </c>
      <c r="J42" s="197">
        <v>1307</v>
      </c>
      <c r="K42" s="197">
        <v>14500</v>
      </c>
      <c r="L42" s="197">
        <v>20205.3</v>
      </c>
      <c r="M42" s="195">
        <v>29.5</v>
      </c>
      <c r="N42" s="195">
        <v>28.74</v>
      </c>
      <c r="O42" s="195">
        <v>25.55</v>
      </c>
      <c r="P42" s="195">
        <v>5.06</v>
      </c>
      <c r="Q42" s="196">
        <v>194.7</v>
      </c>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row>
    <row r="43" spans="1:131" s="193" customFormat="1" ht="12">
      <c r="A43" s="194">
        <v>1988</v>
      </c>
      <c r="B43" s="195">
        <f t="shared" si="3"/>
        <v>9383.593538349993</v>
      </c>
      <c r="C43" s="195">
        <v>175.7</v>
      </c>
      <c r="D43" s="195">
        <f t="shared" si="0"/>
        <v>10.503144654088043</v>
      </c>
      <c r="E43" s="195">
        <v>19006</v>
      </c>
      <c r="F43" s="195">
        <v>9129</v>
      </c>
      <c r="G43" s="198">
        <v>932</v>
      </c>
      <c r="H43" s="195"/>
      <c r="I43" s="195">
        <v>85.7</v>
      </c>
      <c r="J43" s="197">
        <v>1303</v>
      </c>
      <c r="K43" s="197">
        <v>22000</v>
      </c>
      <c r="L43" s="197">
        <v>26728.7</v>
      </c>
      <c r="M43" s="195">
        <v>58.23</v>
      </c>
      <c r="N43" s="195">
        <v>64.33</v>
      </c>
      <c r="O43" s="195">
        <v>38.82</v>
      </c>
      <c r="P43" s="195">
        <v>8.01</v>
      </c>
      <c r="Q43" s="196">
        <v>459.9</v>
      </c>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row>
    <row r="44" spans="1:131" s="193" customFormat="1" ht="12">
      <c r="A44" s="194">
        <v>1989</v>
      </c>
      <c r="B44" s="195">
        <f t="shared" si="3"/>
        <v>9608.799783270393</v>
      </c>
      <c r="C44" s="195">
        <v>176.2</v>
      </c>
      <c r="D44" s="195">
        <f t="shared" si="0"/>
        <v>0.2845759817871372</v>
      </c>
      <c r="E44" s="195">
        <v>18655</v>
      </c>
      <c r="F44" s="195">
        <v>9714</v>
      </c>
      <c r="G44" s="198">
        <v>969</v>
      </c>
      <c r="H44" s="195"/>
      <c r="I44" s="195">
        <v>54.2</v>
      </c>
      <c r="J44" s="197">
        <v>930</v>
      </c>
      <c r="K44" s="197">
        <v>27000</v>
      </c>
      <c r="L44" s="197">
        <v>37860.6</v>
      </c>
      <c r="M44" s="195">
        <v>75.63</v>
      </c>
      <c r="N44" s="195">
        <v>87.96</v>
      </c>
      <c r="O44" s="195">
        <v>48.87</v>
      </c>
      <c r="P44" s="195">
        <v>14.07</v>
      </c>
      <c r="Q44" s="196">
        <v>574.8</v>
      </c>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row>
    <row r="45" spans="1:131" s="193" customFormat="1" ht="12">
      <c r="A45" s="194">
        <v>1990</v>
      </c>
      <c r="B45" s="195">
        <v>9697.98</v>
      </c>
      <c r="C45" s="195">
        <v>181.5</v>
      </c>
      <c r="D45" s="195">
        <v>3</v>
      </c>
      <c r="E45" s="195">
        <v>18815</v>
      </c>
      <c r="F45" s="195">
        <v>10569</v>
      </c>
      <c r="G45" s="198">
        <v>1030</v>
      </c>
      <c r="H45" s="195"/>
      <c r="I45" s="195">
        <v>49.5</v>
      </c>
      <c r="J45" s="197">
        <v>720</v>
      </c>
      <c r="K45" s="197">
        <v>32000</v>
      </c>
      <c r="L45" s="197">
        <v>50400</v>
      </c>
      <c r="M45" s="195">
        <v>48.52</v>
      </c>
      <c r="N45" s="195">
        <v>47.52</v>
      </c>
      <c r="O45" s="195">
        <v>46.57</v>
      </c>
      <c r="P45" s="195">
        <v>20.89</v>
      </c>
      <c r="Q45" s="196">
        <v>828.6</v>
      </c>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row>
    <row r="46" spans="1:131" s="193" customFormat="1" ht="12">
      <c r="A46" s="194">
        <v>1991</v>
      </c>
      <c r="B46" s="199">
        <v>10501.53</v>
      </c>
      <c r="C46" s="195">
        <v>190.6</v>
      </c>
      <c r="D46" s="195">
        <v>5</v>
      </c>
      <c r="E46" s="195">
        <v>19343</v>
      </c>
      <c r="F46" s="195">
        <v>11525</v>
      </c>
      <c r="G46" s="198">
        <v>1097</v>
      </c>
      <c r="H46" s="195"/>
      <c r="I46" s="195">
        <v>49</v>
      </c>
      <c r="J46" s="197">
        <v>625</v>
      </c>
      <c r="K46" s="197">
        <v>40000</v>
      </c>
      <c r="L46" s="197">
        <v>63542</v>
      </c>
      <c r="M46" s="195">
        <v>48.72</v>
      </c>
      <c r="N46" s="195">
        <v>48.61</v>
      </c>
      <c r="O46" s="195">
        <v>45</v>
      </c>
      <c r="P46" s="195">
        <v>31.07</v>
      </c>
      <c r="Q46" s="196">
        <v>1106.6</v>
      </c>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row>
    <row r="47" spans="1:131" s="193" customFormat="1" ht="12">
      <c r="A47" s="194">
        <v>1992</v>
      </c>
      <c r="B47" s="199">
        <v>10740.8</v>
      </c>
      <c r="C47" s="195">
        <v>197.4</v>
      </c>
      <c r="D47" s="195">
        <v>3.6</v>
      </c>
      <c r="E47" s="195">
        <v>18382</v>
      </c>
      <c r="F47" s="195">
        <v>12430</v>
      </c>
      <c r="G47" s="198">
        <v>1157</v>
      </c>
      <c r="H47" s="199">
        <v>8.9</v>
      </c>
      <c r="I47" s="195">
        <v>60.2</v>
      </c>
      <c r="J47" s="197">
        <v>611</v>
      </c>
      <c r="K47" s="197">
        <v>60000</v>
      </c>
      <c r="L47" s="197">
        <v>124140.7</v>
      </c>
      <c r="M47" s="195">
        <v>54.61</v>
      </c>
      <c r="N47" s="195">
        <v>54.03</v>
      </c>
      <c r="O47" s="195">
        <v>47.14</v>
      </c>
      <c r="P47" s="195">
        <v>48.04</v>
      </c>
      <c r="Q47" s="196">
        <v>1598</v>
      </c>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row>
    <row r="48" spans="1:131" s="193" customFormat="1" ht="12">
      <c r="A48" s="194">
        <v>1993</v>
      </c>
      <c r="B48" s="199">
        <v>10980.97</v>
      </c>
      <c r="C48" s="195">
        <v>201.4</v>
      </c>
      <c r="D48" s="195">
        <v>2</v>
      </c>
      <c r="E48" s="195">
        <v>18345</v>
      </c>
      <c r="F48" s="195">
        <v>14540</v>
      </c>
      <c r="G48" s="198">
        <v>1324</v>
      </c>
      <c r="H48" s="199">
        <v>8.3</v>
      </c>
      <c r="I48" s="195">
        <v>30.9</v>
      </c>
      <c r="J48" s="197">
        <v>488</v>
      </c>
      <c r="K48" s="197">
        <v>66000</v>
      </c>
      <c r="L48" s="197">
        <v>173666.7</v>
      </c>
      <c r="M48" s="195">
        <v>44.96</v>
      </c>
      <c r="N48" s="195">
        <v>41.83</v>
      </c>
      <c r="O48" s="195">
        <v>45.93</v>
      </c>
      <c r="P48" s="195">
        <v>69.64</v>
      </c>
      <c r="Q48" s="196">
        <v>1919.3</v>
      </c>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row>
    <row r="49" spans="1:131" s="193" customFormat="1" ht="12">
      <c r="A49" s="194">
        <v>1994</v>
      </c>
      <c r="B49" s="199">
        <v>11221.07</v>
      </c>
      <c r="C49" s="195">
        <v>210.1</v>
      </c>
      <c r="D49" s="195">
        <v>4.3</v>
      </c>
      <c r="E49" s="195">
        <v>18728</v>
      </c>
      <c r="F49" s="195">
        <v>16880</v>
      </c>
      <c r="G49" s="198">
        <v>1504</v>
      </c>
      <c r="H49" s="199">
        <v>7.1</v>
      </c>
      <c r="I49" s="195">
        <v>25.4</v>
      </c>
      <c r="J49" s="197">
        <v>405</v>
      </c>
      <c r="K49" s="197">
        <v>70000</v>
      </c>
      <c r="L49" s="197">
        <v>244306</v>
      </c>
      <c r="M49" s="195">
        <v>27.31</v>
      </c>
      <c r="N49" s="195">
        <v>24.81</v>
      </c>
      <c r="O49" s="195">
        <v>29.49</v>
      </c>
      <c r="P49" s="195">
        <v>88.66</v>
      </c>
      <c r="Q49" s="196">
        <v>2197.2</v>
      </c>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row>
    <row r="50" spans="1:131" s="193" customFormat="1" ht="12">
      <c r="A50" s="194">
        <v>1995</v>
      </c>
      <c r="B50" s="199">
        <v>11460.12</v>
      </c>
      <c r="C50" s="195">
        <v>215</v>
      </c>
      <c r="D50" s="195">
        <v>2.3</v>
      </c>
      <c r="E50" s="195">
        <v>18767</v>
      </c>
      <c r="F50" s="195">
        <v>18006</v>
      </c>
      <c r="G50" s="198">
        <v>1571</v>
      </c>
      <c r="H50" s="199">
        <v>6.9</v>
      </c>
      <c r="I50" s="195">
        <v>22.8</v>
      </c>
      <c r="J50" s="197">
        <v>399</v>
      </c>
      <c r="K50" s="197">
        <v>80000</v>
      </c>
      <c r="L50" s="197">
        <v>352562</v>
      </c>
      <c r="M50" s="195">
        <v>22.93</v>
      </c>
      <c r="N50" s="195">
        <v>21.03</v>
      </c>
      <c r="O50" s="195">
        <v>25.04</v>
      </c>
      <c r="P50" s="195">
        <v>108.99</v>
      </c>
      <c r="Q50" s="196">
        <v>2565.2</v>
      </c>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row>
    <row r="51" spans="1:131" s="193" customFormat="1" ht="12">
      <c r="A51" s="194">
        <v>1996</v>
      </c>
      <c r="B51" s="199">
        <v>11698.5</v>
      </c>
      <c r="C51" s="195">
        <v>219.3</v>
      </c>
      <c r="D51" s="195">
        <v>2</v>
      </c>
      <c r="E51" s="195">
        <v>18749</v>
      </c>
      <c r="F51" s="195">
        <v>19157</v>
      </c>
      <c r="G51" s="198">
        <v>1638</v>
      </c>
      <c r="H51" s="199">
        <v>10.4</v>
      </c>
      <c r="I51" s="195">
        <v>25.5</v>
      </c>
      <c r="J51" s="195"/>
      <c r="K51" s="197">
        <v>95000</v>
      </c>
      <c r="L51" s="197">
        <v>478681</v>
      </c>
      <c r="M51" s="195">
        <v>24.39</v>
      </c>
      <c r="N51" s="195">
        <v>23.74</v>
      </c>
      <c r="O51" s="195">
        <v>24.66</v>
      </c>
      <c r="P51" s="195">
        <v>135.57</v>
      </c>
      <c r="Q51" s="196">
        <v>3190.2</v>
      </c>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row>
    <row r="52" spans="1:131" s="193" customFormat="1" ht="12">
      <c r="A52" s="194">
        <v>1997</v>
      </c>
      <c r="B52" s="199">
        <v>11936.86</v>
      </c>
      <c r="C52" s="199">
        <v>227</v>
      </c>
      <c r="D52" s="199">
        <v>3.4</v>
      </c>
      <c r="E52" s="199">
        <v>18996</v>
      </c>
      <c r="F52" s="199">
        <v>19760</v>
      </c>
      <c r="G52" s="198">
        <v>1655</v>
      </c>
      <c r="H52" s="199">
        <v>9.2</v>
      </c>
      <c r="I52" s="195">
        <v>30.6</v>
      </c>
      <c r="J52" s="195"/>
      <c r="K52" s="197">
        <v>97500</v>
      </c>
      <c r="L52" s="197">
        <v>605174</v>
      </c>
      <c r="M52" s="195">
        <v>30.6</v>
      </c>
      <c r="N52" s="199"/>
      <c r="O52" s="199"/>
      <c r="P52" s="195">
        <v>177.1</v>
      </c>
      <c r="Q52" s="196">
        <v>3998.8</v>
      </c>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row>
    <row r="53" spans="1:131" s="193" customFormat="1" ht="12">
      <c r="A53" s="194">
        <v>1998</v>
      </c>
      <c r="B53" s="199">
        <v>12174.63</v>
      </c>
      <c r="C53" s="195">
        <v>228</v>
      </c>
      <c r="D53" s="195">
        <v>0.4</v>
      </c>
      <c r="E53" s="199">
        <v>18701</v>
      </c>
      <c r="F53" s="195">
        <v>19710</v>
      </c>
      <c r="G53" s="199">
        <v>1619</v>
      </c>
      <c r="H53" s="199">
        <v>15.08</v>
      </c>
      <c r="I53" s="195">
        <v>36.1</v>
      </c>
      <c r="J53" s="195"/>
      <c r="K53" s="197">
        <v>100000</v>
      </c>
      <c r="L53" s="197">
        <v>762967</v>
      </c>
      <c r="M53" s="195">
        <v>36.1</v>
      </c>
      <c r="N53" s="195">
        <v>39.6</v>
      </c>
      <c r="O53" s="195">
        <v>54.2</v>
      </c>
      <c r="P53" s="195">
        <v>241</v>
      </c>
      <c r="Q53" s="196">
        <v>5446.4</v>
      </c>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row>
    <row r="54" spans="1:131" s="193" customFormat="1" ht="12">
      <c r="A54" s="194">
        <v>1999</v>
      </c>
      <c r="B54" s="199">
        <v>12411.23</v>
      </c>
      <c r="C54" s="195">
        <v>211</v>
      </c>
      <c r="D54" s="195">
        <v>-7.3</v>
      </c>
      <c r="E54" s="199">
        <v>17011</v>
      </c>
      <c r="F54" s="195">
        <v>13769</v>
      </c>
      <c r="G54" s="199">
        <v>1109</v>
      </c>
      <c r="H54" s="199">
        <v>15.141666666666666</v>
      </c>
      <c r="I54" s="195">
        <v>52.2</v>
      </c>
      <c r="J54" s="195"/>
      <c r="K54" s="197">
        <v>100000</v>
      </c>
      <c r="L54" s="197">
        <v>1025033</v>
      </c>
      <c r="M54" s="195">
        <v>52.2</v>
      </c>
      <c r="N54" s="195">
        <v>39</v>
      </c>
      <c r="O54" s="195">
        <v>58.3</v>
      </c>
      <c r="P54" s="195">
        <v>367</v>
      </c>
      <c r="Q54" s="196">
        <v>11894.8</v>
      </c>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row>
    <row r="55" spans="1:131" s="193" customFormat="1" ht="12">
      <c r="A55" s="194">
        <v>2000</v>
      </c>
      <c r="B55" s="199">
        <v>12646.1</v>
      </c>
      <c r="C55" s="195">
        <v>216</v>
      </c>
      <c r="D55" s="195">
        <v>2.3</v>
      </c>
      <c r="E55" s="199">
        <v>17085</v>
      </c>
      <c r="F55" s="195">
        <v>13649</v>
      </c>
      <c r="G55" s="199">
        <v>1079</v>
      </c>
      <c r="H55" s="199">
        <v>10.3</v>
      </c>
      <c r="I55" s="199">
        <v>96.1</v>
      </c>
      <c r="J55" s="195"/>
      <c r="K55" s="197">
        <f>97.7*25000</f>
        <v>2442500</v>
      </c>
      <c r="L55" s="197">
        <v>2077423</v>
      </c>
      <c r="M55" s="195">
        <v>96.1</v>
      </c>
      <c r="N55" s="195">
        <v>120.8</v>
      </c>
      <c r="O55" s="195">
        <v>31.4</v>
      </c>
      <c r="P55" s="195">
        <v>719.6</v>
      </c>
      <c r="Q55" s="196">
        <v>25000</v>
      </c>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row>
    <row r="56" spans="1:131" s="193" customFormat="1" ht="12.75" thickBot="1">
      <c r="A56" s="200">
        <v>2001</v>
      </c>
      <c r="B56" s="201">
        <v>12090.8</v>
      </c>
      <c r="C56" s="202">
        <v>228</v>
      </c>
      <c r="D56" s="202">
        <v>5.4</v>
      </c>
      <c r="E56" s="203">
        <v>17678</v>
      </c>
      <c r="F56" s="202">
        <v>17981</v>
      </c>
      <c r="G56" s="203">
        <v>1396</v>
      </c>
      <c r="H56" s="202"/>
      <c r="I56" s="203">
        <v>37.7</v>
      </c>
      <c r="J56" s="202"/>
      <c r="K56" s="204">
        <f>121.3*25000</f>
        <v>3032500</v>
      </c>
      <c r="L56" s="204">
        <v>3131312</v>
      </c>
      <c r="M56" s="202">
        <v>37.7</v>
      </c>
      <c r="N56" s="202">
        <v>31.7</v>
      </c>
      <c r="O56" s="202">
        <v>51.3</v>
      </c>
      <c r="P56" s="202">
        <v>990.7</v>
      </c>
      <c r="Q56" s="205">
        <v>25000</v>
      </c>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row>
    <row r="57" ht="12.75"/>
    <row r="58" ht="12.75"/>
    <row r="59" ht="12.75">
      <c r="A59" s="206" t="s">
        <v>171</v>
      </c>
    </row>
    <row r="60" spans="1:131" s="187" customFormat="1" ht="11.25">
      <c r="A60" s="187" t="s">
        <v>150</v>
      </c>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row>
    <row r="61" spans="1:131" s="187" customFormat="1" ht="11.25">
      <c r="A61" s="187" t="s">
        <v>144</v>
      </c>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row>
    <row r="62" spans="1:131" s="187" customFormat="1" ht="11.25">
      <c r="A62" s="187" t="s">
        <v>164</v>
      </c>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row>
    <row r="63" spans="1:131" s="187" customFormat="1" ht="11.25">
      <c r="A63" s="187" t="s">
        <v>165</v>
      </c>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row>
    <row r="64" spans="1:131" s="187" customFormat="1" ht="11.25">
      <c r="A64" s="187" t="s">
        <v>149</v>
      </c>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row>
    <row r="65" spans="1:131" s="187" customFormat="1" ht="11.25">
      <c r="A65" s="187" t="s">
        <v>166</v>
      </c>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row>
    <row r="66" spans="1:131" s="187" customFormat="1" ht="11.25">
      <c r="A66" s="187" t="s">
        <v>167</v>
      </c>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row>
    <row r="67" spans="1:131" s="187" customFormat="1" ht="11.25">
      <c r="A67" s="187" t="s">
        <v>155</v>
      </c>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row>
    <row r="68" spans="1:131" s="187" customFormat="1" ht="11.25">
      <c r="A68" s="187" t="s">
        <v>157</v>
      </c>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row>
    <row r="69" spans="1:131" s="187" customFormat="1" ht="11.25">
      <c r="A69" s="187" t="s">
        <v>160</v>
      </c>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row>
    <row r="70" spans="1:131" s="187" customFormat="1" ht="11.25">
      <c r="A70" s="187" t="s">
        <v>168</v>
      </c>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row>
    <row r="71" spans="1:131" s="187" customFormat="1" ht="11.25">
      <c r="A71" s="187" t="s">
        <v>169</v>
      </c>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row>
    <row r="72" spans="1:131" s="187" customFormat="1" ht="11.25">
      <c r="A72" s="187" t="s">
        <v>170</v>
      </c>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row>
    <row r="73" spans="1:131" s="187" customFormat="1" ht="11.25">
      <c r="A73" s="187" t="s">
        <v>297</v>
      </c>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row>
  </sheetData>
  <mergeCells count="1">
    <mergeCell ref="J4:L4"/>
  </mergeCells>
  <printOptions/>
  <pageMargins left="0.75" right="0.75" top="1" bottom="1" header="0.5" footer="0.5"/>
  <pageSetup horizontalDpi="600" verticalDpi="600" orientation="landscape" paperSize="9" scale="9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T34"/>
  <sheetViews>
    <sheetView workbookViewId="0" topLeftCell="L1">
      <selection activeCell="Q1" sqref="A1:Q34"/>
    </sheetView>
  </sheetViews>
  <sheetFormatPr defaultColWidth="11.421875" defaultRowHeight="12.75"/>
  <cols>
    <col min="1" max="1" width="22.7109375" style="3" customWidth="1"/>
    <col min="2" max="2" width="8.8515625" style="3" customWidth="1"/>
    <col min="3" max="4" width="11.28125" style="3" bestFit="1" customWidth="1"/>
    <col min="5" max="5" width="8.140625" style="3" customWidth="1"/>
    <col min="6" max="7" width="8.421875" style="3" customWidth="1"/>
    <col min="8" max="8" width="7.57421875" style="3" customWidth="1"/>
    <col min="9" max="9" width="7.7109375" style="3" customWidth="1"/>
    <col min="10" max="10" width="8.00390625" style="3" customWidth="1"/>
    <col min="11" max="11" width="9.28125" style="3" customWidth="1"/>
    <col min="12" max="13" width="9.140625" style="3" customWidth="1"/>
    <col min="14" max="14" width="9.8515625" style="3" customWidth="1"/>
    <col min="15" max="15" width="11.00390625" style="3" customWidth="1"/>
    <col min="16" max="16" width="10.28125" style="3" customWidth="1"/>
    <col min="17" max="17" width="9.00390625" style="3" customWidth="1"/>
    <col min="18" max="18" width="9.140625" style="3" customWidth="1"/>
    <col min="19" max="19" width="11.57421875" style="3" bestFit="1" customWidth="1"/>
    <col min="20" max="16384" width="11.421875" style="3" customWidth="1"/>
  </cols>
  <sheetData>
    <row r="1" ht="4.5" customHeight="1" thickBot="1"/>
    <row r="2" spans="1:20" ht="47.25" customHeight="1">
      <c r="A2" s="26" t="s">
        <v>120</v>
      </c>
      <c r="B2" s="269" t="s">
        <v>174</v>
      </c>
      <c r="C2" s="269"/>
      <c r="D2" s="269"/>
      <c r="E2" s="269" t="s">
        <v>175</v>
      </c>
      <c r="F2" s="269"/>
      <c r="G2" s="269"/>
      <c r="H2" s="269" t="s">
        <v>177</v>
      </c>
      <c r="I2" s="269"/>
      <c r="J2" s="269"/>
      <c r="K2" s="269" t="s">
        <v>179</v>
      </c>
      <c r="L2" s="269"/>
      <c r="M2" s="9" t="s">
        <v>180</v>
      </c>
      <c r="N2" s="17" t="s">
        <v>182</v>
      </c>
      <c r="O2" s="17" t="s">
        <v>183</v>
      </c>
      <c r="P2" s="17" t="s">
        <v>186</v>
      </c>
      <c r="Q2" s="18" t="s">
        <v>187</v>
      </c>
      <c r="R2" s="152"/>
      <c r="S2" s="270"/>
      <c r="T2" s="270"/>
    </row>
    <row r="3" spans="1:18" s="50" customFormat="1" ht="18" customHeight="1" thickBot="1">
      <c r="A3" s="10" t="s">
        <v>62</v>
      </c>
      <c r="B3" s="11">
        <v>1974</v>
      </c>
      <c r="C3" s="11">
        <v>1982</v>
      </c>
      <c r="D3" s="11">
        <v>1990</v>
      </c>
      <c r="E3" s="11">
        <v>1974</v>
      </c>
      <c r="F3" s="11">
        <v>1982</v>
      </c>
      <c r="G3" s="11">
        <v>1990</v>
      </c>
      <c r="H3" s="11">
        <v>1974</v>
      </c>
      <c r="I3" s="11">
        <v>1982</v>
      </c>
      <c r="J3" s="11">
        <v>1990</v>
      </c>
      <c r="K3" s="11">
        <v>1982</v>
      </c>
      <c r="L3" s="11">
        <v>1990</v>
      </c>
      <c r="M3" s="11">
        <v>1990</v>
      </c>
      <c r="N3" s="11">
        <v>1990</v>
      </c>
      <c r="O3" s="11">
        <v>1990</v>
      </c>
      <c r="P3" s="11">
        <v>1990</v>
      </c>
      <c r="Q3" s="12">
        <v>1990</v>
      </c>
      <c r="R3" s="152"/>
    </row>
    <row r="4" spans="1:19" ht="12.75">
      <c r="A4" s="72" t="s">
        <v>39</v>
      </c>
      <c r="B4" s="126">
        <v>80011</v>
      </c>
      <c r="C4" s="126">
        <v>94993</v>
      </c>
      <c r="D4" s="126">
        <v>112722</v>
      </c>
      <c r="E4" s="143">
        <v>29.984627113771857</v>
      </c>
      <c r="F4" s="143">
        <v>54.1</v>
      </c>
      <c r="G4" s="143">
        <v>76.3</v>
      </c>
      <c r="H4" s="143">
        <v>20.8971266450863</v>
      </c>
      <c r="I4" s="143">
        <v>30.2</v>
      </c>
      <c r="J4" s="143">
        <v>41.9</v>
      </c>
      <c r="K4" s="143">
        <v>47.9</v>
      </c>
      <c r="L4" s="143">
        <v>69.2</v>
      </c>
      <c r="M4" s="143">
        <v>55.29</v>
      </c>
      <c r="N4" s="143">
        <v>38.3</v>
      </c>
      <c r="O4" s="143">
        <v>15</v>
      </c>
      <c r="P4" s="143">
        <v>51.1</v>
      </c>
      <c r="Q4" s="153">
        <v>44.3</v>
      </c>
      <c r="S4" s="154"/>
    </row>
    <row r="5" spans="1:19" ht="12.75">
      <c r="A5" s="77" t="s">
        <v>40</v>
      </c>
      <c r="B5" s="129">
        <v>30141</v>
      </c>
      <c r="C5" s="129">
        <v>30420</v>
      </c>
      <c r="D5" s="129">
        <v>33518</v>
      </c>
      <c r="E5" s="145">
        <v>14.999502339006668</v>
      </c>
      <c r="F5" s="145">
        <v>30.9</v>
      </c>
      <c r="G5" s="145">
        <v>53.3</v>
      </c>
      <c r="H5" s="145">
        <v>10.046116585382038</v>
      </c>
      <c r="I5" s="145">
        <v>17</v>
      </c>
      <c r="J5" s="145">
        <v>26.2</v>
      </c>
      <c r="K5" s="145">
        <v>32.8</v>
      </c>
      <c r="L5" s="145">
        <v>60.8</v>
      </c>
      <c r="M5" s="145">
        <v>48.3</v>
      </c>
      <c r="N5" s="145">
        <v>20.1</v>
      </c>
      <c r="O5" s="145">
        <v>22.6</v>
      </c>
      <c r="P5" s="145">
        <v>47.2</v>
      </c>
      <c r="Q5" s="155">
        <v>28.1</v>
      </c>
      <c r="S5" s="154"/>
    </row>
    <row r="6" spans="1:19" ht="12.75">
      <c r="A6" s="77" t="s">
        <v>41</v>
      </c>
      <c r="B6" s="129">
        <v>31534</v>
      </c>
      <c r="C6" s="129">
        <v>37144</v>
      </c>
      <c r="D6" s="129">
        <v>41432</v>
      </c>
      <c r="E6" s="145">
        <v>15.212151962960613</v>
      </c>
      <c r="F6" s="145">
        <v>41.9</v>
      </c>
      <c r="G6" s="145">
        <v>66.9</v>
      </c>
      <c r="H6" s="145">
        <v>9.586478087144034</v>
      </c>
      <c r="I6" s="145">
        <v>13.1</v>
      </c>
      <c r="J6" s="145">
        <v>20.7</v>
      </c>
      <c r="K6" s="145">
        <v>30.8</v>
      </c>
      <c r="L6" s="145">
        <v>55.6</v>
      </c>
      <c r="M6" s="145">
        <v>49.19</v>
      </c>
      <c r="N6" s="145">
        <v>20.6</v>
      </c>
      <c r="O6" s="145">
        <v>19.5</v>
      </c>
      <c r="P6" s="145">
        <v>38.8</v>
      </c>
      <c r="Q6" s="155">
        <v>26.6</v>
      </c>
      <c r="S6" s="154"/>
    </row>
    <row r="7" spans="1:19" ht="12.75">
      <c r="A7" s="77" t="s">
        <v>42</v>
      </c>
      <c r="B7" s="129">
        <v>22918</v>
      </c>
      <c r="C7" s="129">
        <v>25229</v>
      </c>
      <c r="D7" s="129">
        <v>29386</v>
      </c>
      <c r="E7" s="145">
        <v>38.95627890740903</v>
      </c>
      <c r="F7" s="145">
        <v>67.5</v>
      </c>
      <c r="G7" s="145">
        <v>79.4</v>
      </c>
      <c r="H7" s="145">
        <v>28.056549437123657</v>
      </c>
      <c r="I7" s="145">
        <v>40.6</v>
      </c>
      <c r="J7" s="145">
        <v>48.7</v>
      </c>
      <c r="K7" s="145">
        <v>64.1</v>
      </c>
      <c r="L7" s="145">
        <v>82.8</v>
      </c>
      <c r="M7" s="145">
        <v>54.14</v>
      </c>
      <c r="N7" s="145">
        <v>45.4</v>
      </c>
      <c r="O7" s="145">
        <v>24.5</v>
      </c>
      <c r="P7" s="145">
        <v>57.6</v>
      </c>
      <c r="Q7" s="155">
        <v>44.6</v>
      </c>
      <c r="S7" s="154"/>
    </row>
    <row r="8" spans="1:19" ht="12.75">
      <c r="A8" s="77" t="s">
        <v>43</v>
      </c>
      <c r="B8" s="129">
        <v>48396</v>
      </c>
      <c r="C8" s="129">
        <v>58079</v>
      </c>
      <c r="D8" s="129">
        <v>60274</v>
      </c>
      <c r="E8" s="145">
        <v>17.960161996859245</v>
      </c>
      <c r="F8" s="145">
        <v>31.2</v>
      </c>
      <c r="G8" s="145">
        <v>67.3</v>
      </c>
      <c r="H8" s="145">
        <v>17.369204066451776</v>
      </c>
      <c r="I8" s="145">
        <v>14.7</v>
      </c>
      <c r="J8" s="145">
        <v>23.9</v>
      </c>
      <c r="K8" s="145">
        <v>32.2</v>
      </c>
      <c r="L8" s="145">
        <v>64.4</v>
      </c>
      <c r="M8" s="145">
        <v>49.17</v>
      </c>
      <c r="N8" s="145">
        <v>22.4</v>
      </c>
      <c r="O8" s="145">
        <v>24.8</v>
      </c>
      <c r="P8" s="145">
        <v>45</v>
      </c>
      <c r="Q8" s="155">
        <v>24.3</v>
      </c>
      <c r="S8" s="154"/>
    </row>
    <row r="9" spans="1:19" ht="12.75">
      <c r="A9" s="77" t="s">
        <v>44</v>
      </c>
      <c r="B9" s="129">
        <v>65304</v>
      </c>
      <c r="C9" s="129">
        <v>71313</v>
      </c>
      <c r="D9" s="129">
        <v>82977</v>
      </c>
      <c r="E9" s="145">
        <v>24.456388582628936</v>
      </c>
      <c r="F9" s="145">
        <v>40.4</v>
      </c>
      <c r="G9" s="145">
        <v>74.5</v>
      </c>
      <c r="H9" s="145">
        <v>19.432194046306506</v>
      </c>
      <c r="I9" s="145">
        <v>25.6</v>
      </c>
      <c r="J9" s="145">
        <v>32.8</v>
      </c>
      <c r="K9" s="145">
        <v>49.7</v>
      </c>
      <c r="L9" s="145">
        <v>71.5</v>
      </c>
      <c r="M9" s="145">
        <v>52.13</v>
      </c>
      <c r="N9" s="145">
        <v>29.9</v>
      </c>
      <c r="O9" s="145">
        <v>21.8</v>
      </c>
      <c r="P9" s="145">
        <v>50.3</v>
      </c>
      <c r="Q9" s="155">
        <v>35.1</v>
      </c>
      <c r="S9" s="154"/>
    </row>
    <row r="10" spans="1:19" ht="12.75">
      <c r="A10" s="77" t="s">
        <v>45</v>
      </c>
      <c r="B10" s="129">
        <v>46501</v>
      </c>
      <c r="C10" s="129">
        <v>64093</v>
      </c>
      <c r="D10" s="129">
        <v>84578</v>
      </c>
      <c r="E10" s="145">
        <v>40.682996064600765</v>
      </c>
      <c r="F10" s="145">
        <v>65.3</v>
      </c>
      <c r="G10" s="145">
        <v>86.5</v>
      </c>
      <c r="H10" s="145">
        <v>26.65319025397303</v>
      </c>
      <c r="I10" s="145">
        <v>35.1</v>
      </c>
      <c r="J10" s="145">
        <v>42.7</v>
      </c>
      <c r="K10" s="145">
        <v>61</v>
      </c>
      <c r="L10" s="145">
        <v>74.4</v>
      </c>
      <c r="M10" s="145">
        <v>58.29</v>
      </c>
      <c r="N10" s="145">
        <v>34.4</v>
      </c>
      <c r="O10" s="145">
        <v>18.5</v>
      </c>
      <c r="P10" s="145">
        <v>72.6</v>
      </c>
      <c r="Q10" s="155">
        <v>40.6</v>
      </c>
      <c r="S10" s="154"/>
    </row>
    <row r="11" spans="1:19" ht="12.75">
      <c r="A11" s="77" t="s">
        <v>46</v>
      </c>
      <c r="B11" s="129">
        <v>33893</v>
      </c>
      <c r="C11" s="129">
        <v>44664</v>
      </c>
      <c r="D11" s="129">
        <v>60647</v>
      </c>
      <c r="E11" s="145">
        <v>24.453426961319447</v>
      </c>
      <c r="F11" s="145">
        <v>50.2</v>
      </c>
      <c r="G11" s="145">
        <v>61.8</v>
      </c>
      <c r="H11" s="145">
        <v>11.554008202283656</v>
      </c>
      <c r="I11" s="145">
        <v>18.7</v>
      </c>
      <c r="J11" s="145">
        <v>22.9</v>
      </c>
      <c r="K11" s="145">
        <v>37.5</v>
      </c>
      <c r="L11" s="145">
        <v>38.4</v>
      </c>
      <c r="M11" s="145">
        <v>49.72</v>
      </c>
      <c r="N11" s="145">
        <v>23.1</v>
      </c>
      <c r="O11" s="145">
        <v>26.6</v>
      </c>
      <c r="P11" s="145">
        <v>51.4</v>
      </c>
      <c r="Q11" s="155">
        <v>21.5</v>
      </c>
      <c r="S11" s="154"/>
    </row>
    <row r="12" spans="1:19" ht="12.75">
      <c r="A12" s="77" t="s">
        <v>47</v>
      </c>
      <c r="B12" s="129">
        <v>254693</v>
      </c>
      <c r="C12" s="129">
        <v>384498</v>
      </c>
      <c r="D12" s="129">
        <v>513107</v>
      </c>
      <c r="E12" s="145">
        <v>65.92407329608588</v>
      </c>
      <c r="F12" s="145">
        <v>80.9</v>
      </c>
      <c r="G12" s="145">
        <v>88.7</v>
      </c>
      <c r="H12" s="145">
        <v>41.93754834251432</v>
      </c>
      <c r="I12" s="145">
        <v>36</v>
      </c>
      <c r="J12" s="145">
        <v>39.7</v>
      </c>
      <c r="K12" s="145">
        <v>52.7</v>
      </c>
      <c r="L12" s="145">
        <v>56.6</v>
      </c>
      <c r="M12" s="145">
        <v>58.65</v>
      </c>
      <c r="N12" s="145">
        <v>46.4</v>
      </c>
      <c r="O12" s="145">
        <v>21.7</v>
      </c>
      <c r="P12" s="145">
        <v>77.4</v>
      </c>
      <c r="Q12" s="155">
        <v>37.8</v>
      </c>
      <c r="S12" s="154"/>
    </row>
    <row r="13" spans="1:19" ht="12.75">
      <c r="A13" s="77" t="s">
        <v>48</v>
      </c>
      <c r="B13" s="129">
        <v>43853</v>
      </c>
      <c r="C13" s="129">
        <v>51315</v>
      </c>
      <c r="D13" s="129">
        <v>56636</v>
      </c>
      <c r="E13" s="145">
        <v>36.74549061637744</v>
      </c>
      <c r="F13" s="145">
        <v>58.1</v>
      </c>
      <c r="G13" s="145">
        <v>74.1</v>
      </c>
      <c r="H13" s="145">
        <v>23.437393108795295</v>
      </c>
      <c r="I13" s="145">
        <v>32.2</v>
      </c>
      <c r="J13" s="145">
        <v>44.7</v>
      </c>
      <c r="K13" s="145">
        <v>63.9</v>
      </c>
      <c r="L13" s="145">
        <v>77.3</v>
      </c>
      <c r="M13" s="145">
        <v>54.17</v>
      </c>
      <c r="N13" s="145">
        <v>46.3</v>
      </c>
      <c r="O13" s="145">
        <v>22.7</v>
      </c>
      <c r="P13" s="145">
        <v>56.9</v>
      </c>
      <c r="Q13" s="155">
        <v>47.2</v>
      </c>
      <c r="S13" s="154"/>
    </row>
    <row r="14" spans="1:19" ht="12.75">
      <c r="A14" s="77" t="s">
        <v>49</v>
      </c>
      <c r="B14" s="129">
        <v>64410</v>
      </c>
      <c r="C14" s="129">
        <v>71300</v>
      </c>
      <c r="D14" s="129">
        <v>78637</v>
      </c>
      <c r="E14" s="145">
        <v>19.75624902965378</v>
      </c>
      <c r="F14" s="145">
        <v>41.6</v>
      </c>
      <c r="G14" s="145">
        <v>60.4</v>
      </c>
      <c r="H14" s="145">
        <v>15.210371060394348</v>
      </c>
      <c r="I14" s="145">
        <v>25.8</v>
      </c>
      <c r="J14" s="145">
        <v>32.7</v>
      </c>
      <c r="K14" s="145">
        <v>51.5</v>
      </c>
      <c r="L14" s="145">
        <v>67.3</v>
      </c>
      <c r="M14" s="145">
        <v>49.19</v>
      </c>
      <c r="N14" s="145">
        <v>32.9</v>
      </c>
      <c r="O14" s="145">
        <v>24.5</v>
      </c>
      <c r="P14" s="145">
        <v>41.4</v>
      </c>
      <c r="Q14" s="155">
        <v>33</v>
      </c>
      <c r="S14" s="154"/>
    </row>
    <row r="15" spans="1:19" ht="12.75">
      <c r="A15" s="77" t="s">
        <v>50</v>
      </c>
      <c r="B15" s="129">
        <v>64224</v>
      </c>
      <c r="C15" s="129">
        <v>82002</v>
      </c>
      <c r="D15" s="129">
        <v>102206</v>
      </c>
      <c r="E15" s="145">
        <v>20.034566517189837</v>
      </c>
      <c r="F15" s="145">
        <v>37.6</v>
      </c>
      <c r="G15" s="145">
        <v>55.5</v>
      </c>
      <c r="H15" s="145">
        <v>12.286684105630293</v>
      </c>
      <c r="I15" s="145">
        <v>15.2</v>
      </c>
      <c r="J15" s="145">
        <v>17.4</v>
      </c>
      <c r="K15" s="145">
        <v>33.6</v>
      </c>
      <c r="L15" s="145">
        <v>38.8</v>
      </c>
      <c r="M15" s="145">
        <v>49.61</v>
      </c>
      <c r="N15" s="145">
        <v>27.5</v>
      </c>
      <c r="O15" s="145">
        <v>23.5</v>
      </c>
      <c r="P15" s="145">
        <v>52.6</v>
      </c>
      <c r="Q15" s="155">
        <v>21.7</v>
      </c>
      <c r="S15" s="154"/>
    </row>
    <row r="16" spans="1:19" ht="12.75">
      <c r="A16" s="77" t="s">
        <v>51</v>
      </c>
      <c r="B16" s="129">
        <v>124513</v>
      </c>
      <c r="C16" s="129">
        <v>144436</v>
      </c>
      <c r="D16" s="129">
        <v>187119</v>
      </c>
      <c r="E16" s="145">
        <v>19.50880630938135</v>
      </c>
      <c r="F16" s="145">
        <v>43.9</v>
      </c>
      <c r="G16" s="145">
        <v>62.4</v>
      </c>
      <c r="H16" s="145">
        <v>4.816364556311389</v>
      </c>
      <c r="I16" s="145">
        <v>15.1</v>
      </c>
      <c r="J16" s="145">
        <v>23.2</v>
      </c>
      <c r="K16" s="145">
        <v>36.7</v>
      </c>
      <c r="L16" s="145">
        <v>48.9</v>
      </c>
      <c r="M16" s="145">
        <v>52.94</v>
      </c>
      <c r="N16" s="145">
        <v>32.2</v>
      </c>
      <c r="O16" s="145">
        <v>19.8</v>
      </c>
      <c r="P16" s="145">
        <v>69</v>
      </c>
      <c r="Q16" s="155">
        <v>29.9</v>
      </c>
      <c r="S16" s="154"/>
    </row>
    <row r="17" spans="1:19" ht="12.75">
      <c r="A17" s="77" t="s">
        <v>52</v>
      </c>
      <c r="B17" s="129">
        <v>10055</v>
      </c>
      <c r="C17" s="129">
        <v>13444</v>
      </c>
      <c r="D17" s="129">
        <v>16464</v>
      </c>
      <c r="E17" s="145">
        <v>12.073595226255595</v>
      </c>
      <c r="F17" s="145">
        <v>33.2</v>
      </c>
      <c r="G17" s="145">
        <v>44.3</v>
      </c>
      <c r="H17" s="145">
        <v>3.709597215315763</v>
      </c>
      <c r="I17" s="145">
        <v>12.1</v>
      </c>
      <c r="J17" s="145">
        <v>21.4</v>
      </c>
      <c r="K17" s="145">
        <v>31.3</v>
      </c>
      <c r="L17" s="145">
        <v>49.7</v>
      </c>
      <c r="M17" s="145">
        <v>46.35</v>
      </c>
      <c r="N17" s="145">
        <v>24.7</v>
      </c>
      <c r="O17" s="145">
        <v>23.5</v>
      </c>
      <c r="P17" s="145">
        <v>37.5</v>
      </c>
      <c r="Q17" s="155">
        <v>23.6</v>
      </c>
      <c r="S17" s="154"/>
    </row>
    <row r="18" spans="1:19" ht="12.75">
      <c r="A18" s="77" t="s">
        <v>53</v>
      </c>
      <c r="B18" s="129">
        <v>9798</v>
      </c>
      <c r="C18" s="129">
        <v>20310</v>
      </c>
      <c r="D18" s="129">
        <v>10073</v>
      </c>
      <c r="E18" s="145">
        <v>11.247193304756072</v>
      </c>
      <c r="F18" s="145">
        <v>25.3</v>
      </c>
      <c r="G18" s="145">
        <v>40.4</v>
      </c>
      <c r="H18" s="145">
        <v>3.7150438865074507</v>
      </c>
      <c r="I18" s="145">
        <v>6.7</v>
      </c>
      <c r="J18" s="145">
        <v>23.7</v>
      </c>
      <c r="K18" s="145">
        <v>14.7</v>
      </c>
      <c r="L18" s="145">
        <v>29.2</v>
      </c>
      <c r="M18" s="145">
        <v>44.84</v>
      </c>
      <c r="N18" s="145">
        <v>25.8</v>
      </c>
      <c r="O18" s="145">
        <v>29.1</v>
      </c>
      <c r="P18" s="145">
        <v>36.7</v>
      </c>
      <c r="Q18" s="155">
        <v>19.8</v>
      </c>
      <c r="S18" s="154"/>
    </row>
    <row r="19" spans="1:19" ht="12.75">
      <c r="A19" s="77" t="s">
        <v>54</v>
      </c>
      <c r="B19" s="129">
        <v>4321</v>
      </c>
      <c r="C19" s="129">
        <v>5975</v>
      </c>
      <c r="D19" s="129">
        <v>8155</v>
      </c>
      <c r="E19" s="145">
        <v>36.982180050914145</v>
      </c>
      <c r="F19" s="145">
        <v>53.3</v>
      </c>
      <c r="G19" s="145">
        <v>60.9</v>
      </c>
      <c r="H19" s="145">
        <v>24.994214302244853</v>
      </c>
      <c r="I19" s="145">
        <v>33.8</v>
      </c>
      <c r="J19" s="145">
        <v>35.8</v>
      </c>
      <c r="K19" s="145">
        <v>47.5</v>
      </c>
      <c r="L19" s="145">
        <v>57.1</v>
      </c>
      <c r="M19" s="145">
        <v>50.64</v>
      </c>
      <c r="N19" s="145">
        <v>39.3</v>
      </c>
      <c r="O19" s="145">
        <v>24.2</v>
      </c>
      <c r="P19" s="145">
        <v>48.9</v>
      </c>
      <c r="Q19" s="155">
        <v>35.8</v>
      </c>
      <c r="S19" s="154"/>
    </row>
    <row r="20" spans="1:19" ht="12.75">
      <c r="A20" s="77" t="s">
        <v>55</v>
      </c>
      <c r="B20" s="129">
        <v>190285</v>
      </c>
      <c r="C20" s="129">
        <v>289191</v>
      </c>
      <c r="D20" s="129">
        <v>398328</v>
      </c>
      <c r="E20" s="145">
        <v>69.65131250492682</v>
      </c>
      <c r="F20" s="145">
        <v>83.6</v>
      </c>
      <c r="G20" s="145">
        <v>90.7</v>
      </c>
      <c r="H20" s="145">
        <v>58.92634732112357</v>
      </c>
      <c r="I20" s="145">
        <v>63.9</v>
      </c>
      <c r="J20" s="145">
        <v>65.2</v>
      </c>
      <c r="K20" s="145">
        <v>75.2</v>
      </c>
      <c r="L20" s="145">
        <v>80</v>
      </c>
      <c r="M20" s="145">
        <v>64.38</v>
      </c>
      <c r="N20" s="145">
        <v>70.6</v>
      </c>
      <c r="O20" s="145">
        <v>12.7</v>
      </c>
      <c r="P20" s="145">
        <v>80.9</v>
      </c>
      <c r="Q20" s="155">
        <v>55</v>
      </c>
      <c r="S20" s="154"/>
    </row>
    <row r="21" spans="1:19" ht="12.75">
      <c r="A21" s="77" t="s">
        <v>56</v>
      </c>
      <c r="B21" s="129">
        <v>58813</v>
      </c>
      <c r="C21" s="129">
        <v>70303</v>
      </c>
      <c r="D21" s="129">
        <v>81732</v>
      </c>
      <c r="E21" s="145">
        <v>43.10441569040858</v>
      </c>
      <c r="F21" s="145">
        <v>68.1</v>
      </c>
      <c r="G21" s="145">
        <v>89.5</v>
      </c>
      <c r="H21" s="145">
        <v>28.59911924234438</v>
      </c>
      <c r="I21" s="145">
        <v>34.9</v>
      </c>
      <c r="J21" s="145">
        <v>40.6</v>
      </c>
      <c r="K21" s="145">
        <v>53.4</v>
      </c>
      <c r="L21" s="145">
        <v>71.2</v>
      </c>
      <c r="M21" s="145">
        <v>57.56</v>
      </c>
      <c r="N21" s="145">
        <v>40</v>
      </c>
      <c r="O21" s="145">
        <v>15.1</v>
      </c>
      <c r="P21" s="145">
        <v>68.2</v>
      </c>
      <c r="Q21" s="155">
        <v>40.1</v>
      </c>
      <c r="S21" s="154"/>
    </row>
    <row r="22" spans="1:19" ht="12.75">
      <c r="A22" s="77" t="s">
        <v>57</v>
      </c>
      <c r="B22" s="129">
        <v>6471</v>
      </c>
      <c r="C22" s="129">
        <v>8922</v>
      </c>
      <c r="D22" s="129">
        <v>13631</v>
      </c>
      <c r="E22" s="145">
        <v>11.033843300880854</v>
      </c>
      <c r="F22" s="145">
        <v>31.6</v>
      </c>
      <c r="G22" s="145">
        <v>49.9</v>
      </c>
      <c r="H22" s="145">
        <v>7.417709782104776</v>
      </c>
      <c r="I22" s="145">
        <v>18.2</v>
      </c>
      <c r="J22" s="145">
        <v>23.9</v>
      </c>
      <c r="K22" s="145">
        <v>45.5</v>
      </c>
      <c r="L22" s="145">
        <v>59.9</v>
      </c>
      <c r="M22" s="145">
        <v>47.48</v>
      </c>
      <c r="N22" s="145">
        <v>23.4</v>
      </c>
      <c r="O22" s="145">
        <v>28.9</v>
      </c>
      <c r="P22" s="145">
        <v>30.9</v>
      </c>
      <c r="Q22" s="155">
        <v>21.4</v>
      </c>
      <c r="S22" s="154"/>
    </row>
    <row r="23" spans="1:19" ht="13.5" thickBot="1">
      <c r="A23" s="93" t="s">
        <v>58</v>
      </c>
      <c r="B23" s="132">
        <v>762</v>
      </c>
      <c r="C23" s="132">
        <v>1265</v>
      </c>
      <c r="D23" s="132">
        <v>2170</v>
      </c>
      <c r="E23" s="156">
        <v>57.874015748031496</v>
      </c>
      <c r="F23" s="156">
        <v>80.5</v>
      </c>
      <c r="G23" s="156">
        <v>94.8</v>
      </c>
      <c r="H23" s="156">
        <v>20.078740157480315</v>
      </c>
      <c r="I23" s="156">
        <v>10.1</v>
      </c>
      <c r="J23" s="156">
        <v>15.5</v>
      </c>
      <c r="K23" s="156">
        <v>77.8</v>
      </c>
      <c r="L23" s="156">
        <v>88.6</v>
      </c>
      <c r="M23" s="156">
        <v>63.71</v>
      </c>
      <c r="N23" s="156">
        <v>84.2</v>
      </c>
      <c r="O23" s="156">
        <v>11.2</v>
      </c>
      <c r="P23" s="156">
        <v>70.6</v>
      </c>
      <c r="Q23" s="157">
        <v>44.5</v>
      </c>
      <c r="S23" s="154"/>
    </row>
    <row r="25" ht="12.75">
      <c r="A25" s="207" t="s">
        <v>173</v>
      </c>
    </row>
    <row r="26" s="188" customFormat="1" ht="11.25">
      <c r="A26" s="188" t="s">
        <v>172</v>
      </c>
    </row>
    <row r="27" s="188" customFormat="1" ht="11.25">
      <c r="A27" s="188" t="s">
        <v>176</v>
      </c>
    </row>
    <row r="28" s="188" customFormat="1" ht="11.25">
      <c r="A28" s="188" t="s">
        <v>164</v>
      </c>
    </row>
    <row r="29" s="188" customFormat="1" ht="11.25">
      <c r="A29" s="188" t="s">
        <v>178</v>
      </c>
    </row>
    <row r="30" s="188" customFormat="1" ht="11.25">
      <c r="A30" s="188" t="s">
        <v>181</v>
      </c>
    </row>
    <row r="31" s="188" customFormat="1" ht="11.25">
      <c r="A31" s="188" t="s">
        <v>166</v>
      </c>
    </row>
    <row r="32" s="188" customFormat="1" ht="11.25">
      <c r="A32" s="188" t="s">
        <v>167</v>
      </c>
    </row>
    <row r="33" s="188" customFormat="1" ht="11.25">
      <c r="A33" s="188" t="s">
        <v>184</v>
      </c>
    </row>
    <row r="34" s="188" customFormat="1" ht="11.25">
      <c r="A34" s="188" t="s">
        <v>185</v>
      </c>
    </row>
  </sheetData>
  <mergeCells count="5">
    <mergeCell ref="S2:T2"/>
    <mergeCell ref="E2:G2"/>
    <mergeCell ref="B2:D2"/>
    <mergeCell ref="K2:L2"/>
    <mergeCell ref="H2:J2"/>
  </mergeCells>
  <printOptions/>
  <pageMargins left="0.41" right="0.41" top="0.76" bottom="1" header="0" footer="0"/>
  <pageSetup fitToHeight="1" fitToWidth="1" horizontalDpi="600" verticalDpi="600" orientation="landscape" paperSize="9" scale="83" r:id="rId3"/>
  <legacyDrawing r:id="rId2"/>
</worksheet>
</file>

<file path=xl/worksheets/sheet8.xml><?xml version="1.0" encoding="utf-8"?>
<worksheet xmlns="http://schemas.openxmlformats.org/spreadsheetml/2006/main" xmlns:r="http://schemas.openxmlformats.org/officeDocument/2006/relationships">
  <dimension ref="A2:M33"/>
  <sheetViews>
    <sheetView workbookViewId="0" topLeftCell="A19">
      <selection activeCell="B35" sqref="B35"/>
    </sheetView>
  </sheetViews>
  <sheetFormatPr defaultColWidth="11.421875" defaultRowHeight="12.75"/>
  <cols>
    <col min="1" max="1" width="20.00390625" style="3" customWidth="1"/>
    <col min="2" max="2" width="9.140625" style="3" customWidth="1"/>
    <col min="3" max="3" width="8.7109375" style="3" customWidth="1"/>
    <col min="4" max="4" width="8.28125" style="3" customWidth="1"/>
    <col min="5" max="7" width="9.140625" style="3" customWidth="1"/>
    <col min="8" max="8" width="11.140625" style="3" customWidth="1"/>
    <col min="9" max="10" width="9.140625" style="3" customWidth="1"/>
    <col min="11" max="11" width="10.57421875" style="3" customWidth="1"/>
    <col min="12" max="12" width="11.140625" style="3" customWidth="1"/>
    <col min="13" max="13" width="10.421875" style="3" customWidth="1"/>
    <col min="14" max="16384" width="9.140625" style="3" customWidth="1"/>
  </cols>
  <sheetData>
    <row r="1" ht="5.25" customHeight="1" thickBot="1"/>
    <row r="2" spans="1:13" s="50" customFormat="1" ht="47.25" customHeight="1">
      <c r="A2" s="26" t="s">
        <v>121</v>
      </c>
      <c r="B2" s="271" t="s">
        <v>188</v>
      </c>
      <c r="C2" s="272"/>
      <c r="D2" s="273"/>
      <c r="E2" s="274" t="s">
        <v>189</v>
      </c>
      <c r="F2" s="274"/>
      <c r="G2" s="274"/>
      <c r="H2" s="17" t="s">
        <v>192</v>
      </c>
      <c r="I2" s="17" t="s">
        <v>190</v>
      </c>
      <c r="J2" s="17" t="s">
        <v>191</v>
      </c>
      <c r="K2" s="17" t="s">
        <v>193</v>
      </c>
      <c r="L2" s="17" t="s">
        <v>194</v>
      </c>
      <c r="M2" s="18" t="s">
        <v>195</v>
      </c>
    </row>
    <row r="3" spans="1:13" s="152" customFormat="1" ht="18.75" customHeight="1" thickBot="1">
      <c r="A3" s="10" t="s">
        <v>62</v>
      </c>
      <c r="B3" s="13">
        <v>1974</v>
      </c>
      <c r="C3" s="13">
        <v>1982</v>
      </c>
      <c r="D3" s="13">
        <v>1990</v>
      </c>
      <c r="E3" s="11">
        <v>1974</v>
      </c>
      <c r="F3" s="11">
        <v>1982</v>
      </c>
      <c r="G3" s="11">
        <v>1990</v>
      </c>
      <c r="H3" s="13">
        <v>1990</v>
      </c>
      <c r="I3" s="13" t="s">
        <v>59</v>
      </c>
      <c r="J3" s="13">
        <v>1999</v>
      </c>
      <c r="K3" s="11">
        <v>1990</v>
      </c>
      <c r="L3" s="11">
        <v>1990</v>
      </c>
      <c r="M3" s="12">
        <v>1990</v>
      </c>
    </row>
    <row r="4" spans="1:13" ht="12.75">
      <c r="A4" s="72" t="s">
        <v>39</v>
      </c>
      <c r="B4" s="109">
        <v>24.6</v>
      </c>
      <c r="C4" s="109">
        <v>15.8</v>
      </c>
      <c r="D4" s="109">
        <v>11.9</v>
      </c>
      <c r="E4" s="109">
        <v>1.7368378411223788</v>
      </c>
      <c r="F4" s="109">
        <v>4.136672215467027</v>
      </c>
      <c r="G4" s="109">
        <v>7.126373032398159</v>
      </c>
      <c r="H4" s="109">
        <v>11.9</v>
      </c>
      <c r="I4" s="158">
        <v>24.87429595455708</v>
      </c>
      <c r="J4" s="158">
        <v>96.6073807</v>
      </c>
      <c r="K4" s="109">
        <v>56.1</v>
      </c>
      <c r="L4" s="109">
        <v>91.2</v>
      </c>
      <c r="M4" s="76">
        <v>37.4</v>
      </c>
    </row>
    <row r="5" spans="1:13" ht="12.75">
      <c r="A5" s="77" t="s">
        <v>40</v>
      </c>
      <c r="B5" s="82">
        <v>34.7</v>
      </c>
      <c r="C5" s="82">
        <v>24.2</v>
      </c>
      <c r="D5" s="82">
        <v>18.9</v>
      </c>
      <c r="E5" s="82">
        <v>0.5614478260117307</v>
      </c>
      <c r="F5" s="82">
        <v>1.5809411566630187</v>
      </c>
      <c r="G5" s="82">
        <v>3.4383954154727796</v>
      </c>
      <c r="H5" s="82">
        <v>5.1</v>
      </c>
      <c r="I5" s="159">
        <v>19.038946178694154</v>
      </c>
      <c r="J5" s="159">
        <v>143.512594</v>
      </c>
      <c r="K5" s="82">
        <v>46.97</v>
      </c>
      <c r="L5" s="82">
        <v>84.4</v>
      </c>
      <c r="M5" s="81">
        <v>31.4</v>
      </c>
    </row>
    <row r="6" spans="1:13" ht="12.75">
      <c r="A6" s="77" t="s">
        <v>41</v>
      </c>
      <c r="B6" s="82">
        <v>32.5</v>
      </c>
      <c r="C6" s="82">
        <v>23.7</v>
      </c>
      <c r="D6" s="82">
        <v>17.5</v>
      </c>
      <c r="E6" s="82">
        <v>0.5433327286705193</v>
      </c>
      <c r="F6" s="82">
        <v>1.572295537171156</v>
      </c>
      <c r="G6" s="82">
        <v>3.1747944024196157</v>
      </c>
      <c r="H6" s="82">
        <v>6.4</v>
      </c>
      <c r="I6" s="159">
        <v>23.26725665362832</v>
      </c>
      <c r="J6" s="159">
        <v>112.56724700000001</v>
      </c>
      <c r="K6" s="82">
        <v>48.27</v>
      </c>
      <c r="L6" s="82">
        <v>89.3</v>
      </c>
      <c r="M6" s="81">
        <v>30.9</v>
      </c>
    </row>
    <row r="7" spans="1:13" ht="12.75">
      <c r="A7" s="77" t="s">
        <v>42</v>
      </c>
      <c r="B7" s="82">
        <v>16.5</v>
      </c>
      <c r="C7" s="82">
        <v>11.4</v>
      </c>
      <c r="D7" s="82">
        <v>8.6</v>
      </c>
      <c r="E7" s="82">
        <v>0.7090950497919297</v>
      </c>
      <c r="F7" s="82">
        <v>1.7818088863221078</v>
      </c>
      <c r="G7" s="82">
        <v>4.3469507591645</v>
      </c>
      <c r="H7" s="82">
        <v>6.5</v>
      </c>
      <c r="I7" s="159">
        <v>21.197301862225967</v>
      </c>
      <c r="J7" s="159">
        <v>130.6895336</v>
      </c>
      <c r="K7" s="82">
        <v>53.73</v>
      </c>
      <c r="L7" s="82">
        <v>91.2</v>
      </c>
      <c r="M7" s="81">
        <v>38.4</v>
      </c>
    </row>
    <row r="8" spans="1:13" ht="12.75">
      <c r="A8" s="77" t="s">
        <v>43</v>
      </c>
      <c r="B8" s="82">
        <v>40.4</v>
      </c>
      <c r="C8" s="82">
        <v>29.8</v>
      </c>
      <c r="D8" s="82">
        <v>19.9</v>
      </c>
      <c r="E8" s="82">
        <v>0.6867319792238503</v>
      </c>
      <c r="F8" s="82">
        <v>1.838650163893317</v>
      </c>
      <c r="G8" s="82">
        <v>3.9502652289983704</v>
      </c>
      <c r="H8" s="82">
        <v>7.6</v>
      </c>
      <c r="I8" s="159">
        <v>23.994629846758723</v>
      </c>
      <c r="J8" s="159">
        <v>103.9368938</v>
      </c>
      <c r="K8" s="82">
        <v>48.75</v>
      </c>
      <c r="L8" s="82">
        <v>88.8</v>
      </c>
      <c r="M8" s="81">
        <v>34.2</v>
      </c>
    </row>
    <row r="9" spans="1:13" ht="12.75">
      <c r="A9" s="77" t="s">
        <v>44</v>
      </c>
      <c r="B9" s="82">
        <v>43.8</v>
      </c>
      <c r="C9" s="82">
        <v>31.2</v>
      </c>
      <c r="D9" s="82">
        <v>22.9</v>
      </c>
      <c r="E9" s="82">
        <v>1.1549547518598435</v>
      </c>
      <c r="F9" s="82">
        <v>2.9216094589641</v>
      </c>
      <c r="G9" s="82">
        <v>5.620887004997444</v>
      </c>
      <c r="H9" s="82">
        <v>11.1</v>
      </c>
      <c r="I9" s="159">
        <v>20.056764950316893</v>
      </c>
      <c r="J9" s="159">
        <v>124.3693448</v>
      </c>
      <c r="K9" s="82">
        <v>50.14</v>
      </c>
      <c r="L9" s="82">
        <v>88.8</v>
      </c>
      <c r="M9" s="81">
        <v>36.9</v>
      </c>
    </row>
    <row r="10" spans="1:13" ht="12.75">
      <c r="A10" s="77" t="s">
        <v>45</v>
      </c>
      <c r="B10" s="82">
        <v>12.1</v>
      </c>
      <c r="C10" s="82">
        <v>7.2</v>
      </c>
      <c r="D10" s="82">
        <v>5.2</v>
      </c>
      <c r="E10" s="82">
        <v>1.0983108346879638</v>
      </c>
      <c r="F10" s="82">
        <v>3.585933307224809</v>
      </c>
      <c r="G10" s="82">
        <v>7.505330368687401</v>
      </c>
      <c r="H10" s="82">
        <v>8.5</v>
      </c>
      <c r="I10" s="159">
        <v>23.801513409953433</v>
      </c>
      <c r="J10" s="159">
        <v>96.0036703</v>
      </c>
      <c r="K10" s="82">
        <v>60.12</v>
      </c>
      <c r="L10" s="82">
        <v>91.4</v>
      </c>
      <c r="M10" s="81">
        <v>47.8</v>
      </c>
    </row>
    <row r="11" spans="1:13" ht="12.75">
      <c r="A11" s="77" t="s">
        <v>46</v>
      </c>
      <c r="B11" s="82">
        <v>29.2</v>
      </c>
      <c r="C11" s="82">
        <v>19.7</v>
      </c>
      <c r="D11" s="82">
        <v>13</v>
      </c>
      <c r="E11" s="82">
        <v>0.8958685311371981</v>
      </c>
      <c r="F11" s="82">
        <v>2.523069376743616</v>
      </c>
      <c r="G11" s="82">
        <v>4.607789578546524</v>
      </c>
      <c r="H11" s="82">
        <v>4.4</v>
      </c>
      <c r="I11" s="159">
        <v>20.786893987746403</v>
      </c>
      <c r="J11" s="159">
        <v>108.0369933</v>
      </c>
      <c r="K11" s="82">
        <v>50.58</v>
      </c>
      <c r="L11" s="82">
        <v>81.4</v>
      </c>
      <c r="M11" s="81">
        <v>33.1</v>
      </c>
    </row>
    <row r="12" spans="1:13" ht="12.75">
      <c r="A12" s="77" t="s">
        <v>47</v>
      </c>
      <c r="B12" s="82">
        <v>15.5</v>
      </c>
      <c r="C12" s="82">
        <v>9.2</v>
      </c>
      <c r="D12" s="82">
        <v>6.6</v>
      </c>
      <c r="E12" s="82">
        <v>3.038816821292458</v>
      </c>
      <c r="F12" s="82">
        <v>5.4257210857839455</v>
      </c>
      <c r="G12" s="82">
        <v>10.008631344644185</v>
      </c>
      <c r="H12" s="82">
        <v>12.1</v>
      </c>
      <c r="I12" s="159">
        <v>26.715544245952817</v>
      </c>
      <c r="J12" s="159">
        <v>72.854556</v>
      </c>
      <c r="K12" s="82">
        <v>63.46</v>
      </c>
      <c r="L12" s="82">
        <v>91.2</v>
      </c>
      <c r="M12" s="81">
        <v>49.9</v>
      </c>
    </row>
    <row r="13" spans="1:13" ht="12.75">
      <c r="A13" s="77" t="s">
        <v>48</v>
      </c>
      <c r="B13" s="82">
        <v>35.8</v>
      </c>
      <c r="C13" s="82">
        <v>24.7</v>
      </c>
      <c r="D13" s="82">
        <v>16</v>
      </c>
      <c r="E13" s="82">
        <v>1.0308162195427713</v>
      </c>
      <c r="F13" s="82">
        <v>2.998220728026974</v>
      </c>
      <c r="G13" s="82">
        <v>6.1765469338799335</v>
      </c>
      <c r="H13" s="82">
        <v>12.1</v>
      </c>
      <c r="I13" s="159">
        <v>24.681328147261755</v>
      </c>
      <c r="J13" s="159">
        <v>108.097567</v>
      </c>
      <c r="K13" s="82">
        <v>54.34</v>
      </c>
      <c r="L13" s="82">
        <v>90</v>
      </c>
      <c r="M13" s="81">
        <v>41.2</v>
      </c>
    </row>
    <row r="14" spans="1:13" ht="12.75">
      <c r="A14" s="77" t="s">
        <v>49</v>
      </c>
      <c r="B14" s="82">
        <v>19.9</v>
      </c>
      <c r="C14" s="82">
        <v>12.1</v>
      </c>
      <c r="D14" s="82">
        <v>9</v>
      </c>
      <c r="E14" s="82">
        <v>1.1116672085572437</v>
      </c>
      <c r="F14" s="82">
        <v>3.2464689990082416</v>
      </c>
      <c r="G14" s="82">
        <v>6.866481111339423</v>
      </c>
      <c r="H14" s="82">
        <v>11.9</v>
      </c>
      <c r="I14" s="159">
        <v>18.167135624395048</v>
      </c>
      <c r="J14" s="159">
        <v>169.6763044</v>
      </c>
      <c r="K14" s="82">
        <v>56.41</v>
      </c>
      <c r="L14" s="82">
        <v>90</v>
      </c>
      <c r="M14" s="81">
        <v>36.5</v>
      </c>
    </row>
    <row r="15" spans="1:13" ht="12.75">
      <c r="A15" s="77" t="s">
        <v>50</v>
      </c>
      <c r="B15" s="82">
        <v>30.6</v>
      </c>
      <c r="C15" s="82">
        <v>19</v>
      </c>
      <c r="D15" s="82">
        <v>13.7</v>
      </c>
      <c r="E15" s="82">
        <v>0.7082888407770604</v>
      </c>
      <c r="F15" s="82">
        <v>2.217480655673703</v>
      </c>
      <c r="G15" s="82">
        <v>4.781163973769988</v>
      </c>
      <c r="H15" s="82">
        <v>6.1</v>
      </c>
      <c r="I15" s="159">
        <v>27.517852728761383</v>
      </c>
      <c r="J15" s="159">
        <v>87.5464106</v>
      </c>
      <c r="K15" s="82">
        <v>51.18</v>
      </c>
      <c r="L15" s="82">
        <v>85.4</v>
      </c>
      <c r="M15" s="81">
        <v>35</v>
      </c>
    </row>
    <row r="16" spans="1:13" ht="12.75">
      <c r="A16" s="77" t="s">
        <v>51</v>
      </c>
      <c r="B16" s="82">
        <v>31.7</v>
      </c>
      <c r="C16" s="82">
        <v>20.9</v>
      </c>
      <c r="D16" s="82">
        <v>13.6</v>
      </c>
      <c r="E16" s="82">
        <v>0.7321080561532497</v>
      </c>
      <c r="F16" s="82">
        <v>2.546324447833757</v>
      </c>
      <c r="G16" s="82">
        <v>5.254392422714643</v>
      </c>
      <c r="H16" s="82">
        <v>6.9</v>
      </c>
      <c r="I16" s="159">
        <v>23.53385991914276</v>
      </c>
      <c r="J16" s="159">
        <v>98.5729487</v>
      </c>
      <c r="K16" s="82">
        <v>50.97</v>
      </c>
      <c r="L16" s="82">
        <v>83.2</v>
      </c>
      <c r="M16" s="81">
        <v>32.3</v>
      </c>
    </row>
    <row r="17" spans="1:13" ht="12.75">
      <c r="A17" s="77" t="s">
        <v>52</v>
      </c>
      <c r="B17" s="82">
        <v>24.9</v>
      </c>
      <c r="C17" s="82">
        <v>15</v>
      </c>
      <c r="D17" s="82">
        <v>10.4</v>
      </c>
      <c r="E17" s="82">
        <v>0.41926151130289807</v>
      </c>
      <c r="F17" s="82">
        <v>1.0138248847926268</v>
      </c>
      <c r="G17" s="82">
        <v>2.262389274598995</v>
      </c>
      <c r="H17" s="82">
        <v>1.5</v>
      </c>
      <c r="I17" s="159">
        <v>18.651340990344828</v>
      </c>
      <c r="J17" s="159">
        <v>123.1432897</v>
      </c>
      <c r="K17" s="82">
        <v>49.64</v>
      </c>
      <c r="L17" s="82">
        <v>88.7</v>
      </c>
      <c r="M17" s="81">
        <v>32.9</v>
      </c>
    </row>
    <row r="18" spans="1:13" ht="12.75">
      <c r="A18" s="77" t="s">
        <v>53</v>
      </c>
      <c r="B18" s="82">
        <v>30.2</v>
      </c>
      <c r="C18" s="82">
        <v>17.2</v>
      </c>
      <c r="D18" s="82">
        <v>12.2</v>
      </c>
      <c r="E18" s="82">
        <v>0.7368508447839263</v>
      </c>
      <c r="F18" s="82">
        <v>1.2500280526941807</v>
      </c>
      <c r="G18" s="82">
        <v>2.25681975873696</v>
      </c>
      <c r="H18" s="82">
        <v>1.8</v>
      </c>
      <c r="I18" s="159">
        <v>15.678663260025708</v>
      </c>
      <c r="J18" s="159">
        <v>137.8489375</v>
      </c>
      <c r="K18" s="82">
        <v>49.39</v>
      </c>
      <c r="L18" s="82">
        <v>88</v>
      </c>
      <c r="M18" s="81">
        <v>35.5</v>
      </c>
    </row>
    <row r="19" spans="1:13" ht="12.75">
      <c r="A19" s="77" t="s">
        <v>54</v>
      </c>
      <c r="B19" s="82">
        <v>29.9</v>
      </c>
      <c r="C19" s="82">
        <v>18.5</v>
      </c>
      <c r="D19" s="82">
        <v>12.4</v>
      </c>
      <c r="E19" s="82">
        <v>0.9485313931554837</v>
      </c>
      <c r="F19" s="82">
        <v>2.2702104097452933</v>
      </c>
      <c r="G19" s="82">
        <v>4.573810634328359</v>
      </c>
      <c r="H19" s="82">
        <v>3.2</v>
      </c>
      <c r="I19" s="159">
        <v>16.182072835294118</v>
      </c>
      <c r="J19" s="159">
        <v>158.7571252</v>
      </c>
      <c r="K19" s="82">
        <v>52.76</v>
      </c>
      <c r="L19" s="82">
        <v>87.4</v>
      </c>
      <c r="M19" s="81">
        <v>42.6</v>
      </c>
    </row>
    <row r="20" spans="1:13" ht="12.75">
      <c r="A20" s="77" t="s">
        <v>55</v>
      </c>
      <c r="B20" s="82">
        <v>14.8</v>
      </c>
      <c r="C20" s="82">
        <v>8.7</v>
      </c>
      <c r="D20" s="82">
        <v>6.5</v>
      </c>
      <c r="E20" s="82">
        <v>5.2198544290120426</v>
      </c>
      <c r="F20" s="82">
        <v>9.034504249340964</v>
      </c>
      <c r="G20" s="82">
        <v>13.35897912185145</v>
      </c>
      <c r="H20" s="82">
        <v>17.7</v>
      </c>
      <c r="I20" s="159">
        <v>22.27414945129116</v>
      </c>
      <c r="J20" s="159">
        <v>79.4306492</v>
      </c>
      <c r="K20" s="82">
        <v>69.51</v>
      </c>
      <c r="L20" s="82">
        <v>92.6</v>
      </c>
      <c r="M20" s="81">
        <v>58.6</v>
      </c>
    </row>
    <row r="21" spans="1:13" ht="12.75">
      <c r="A21" s="77" t="s">
        <v>56</v>
      </c>
      <c r="B21" s="82">
        <v>26</v>
      </c>
      <c r="C21" s="82">
        <v>17.2</v>
      </c>
      <c r="D21" s="82">
        <v>12.1</v>
      </c>
      <c r="E21" s="82">
        <v>1.5630635524171648</v>
      </c>
      <c r="F21" s="82">
        <v>3.8027790953783476</v>
      </c>
      <c r="G21" s="82">
        <v>6.95947229313614</v>
      </c>
      <c r="H21" s="82">
        <v>11.1</v>
      </c>
      <c r="I21" s="159">
        <v>22.77525340482349</v>
      </c>
      <c r="J21" s="159">
        <v>100.4894912</v>
      </c>
      <c r="K21" s="82">
        <v>57.3</v>
      </c>
      <c r="L21" s="82">
        <v>93</v>
      </c>
      <c r="M21" s="81">
        <v>43.5</v>
      </c>
    </row>
    <row r="22" spans="1:13" ht="12.75">
      <c r="A22" s="77" t="s">
        <v>57</v>
      </c>
      <c r="B22" s="82">
        <v>18.3</v>
      </c>
      <c r="C22" s="82">
        <v>11.8</v>
      </c>
      <c r="D22" s="82">
        <v>8.4</v>
      </c>
      <c r="E22" s="82">
        <v>0.34485343728915213</v>
      </c>
      <c r="F22" s="82">
        <v>1.3626891862250494</v>
      </c>
      <c r="G22" s="82">
        <v>3.2806301817976724</v>
      </c>
      <c r="H22" s="82">
        <v>2.9</v>
      </c>
      <c r="I22" s="159">
        <v>20.492499998125</v>
      </c>
      <c r="J22" s="159">
        <v>121.18882479999999</v>
      </c>
      <c r="K22" s="82">
        <v>50.3</v>
      </c>
      <c r="L22" s="82">
        <v>87.2</v>
      </c>
      <c r="M22" s="81">
        <v>26.5</v>
      </c>
    </row>
    <row r="23" spans="1:13" ht="13.5" thickBot="1">
      <c r="A23" s="93" t="s">
        <v>58</v>
      </c>
      <c r="B23" s="111">
        <v>5.8</v>
      </c>
      <c r="C23" s="111">
        <v>8.5</v>
      </c>
      <c r="D23" s="111">
        <v>2.6</v>
      </c>
      <c r="E23" s="111">
        <v>6.874812368658061</v>
      </c>
      <c r="F23" s="111">
        <v>6.287952987267385</v>
      </c>
      <c r="G23" s="111">
        <v>10.875237191650854</v>
      </c>
      <c r="H23" s="111">
        <v>2.5</v>
      </c>
      <c r="I23" s="160">
        <v>12.776315805263158</v>
      </c>
      <c r="J23" s="160">
        <v>532.7001492</v>
      </c>
      <c r="K23" s="111">
        <v>64.78</v>
      </c>
      <c r="L23" s="111">
        <v>94.7</v>
      </c>
      <c r="M23" s="161">
        <v>49.5</v>
      </c>
    </row>
    <row r="25" ht="12.75">
      <c r="A25" s="208" t="s">
        <v>196</v>
      </c>
    </row>
    <row r="26" s="188" customFormat="1" ht="11.25">
      <c r="A26" s="188" t="s">
        <v>197</v>
      </c>
    </row>
    <row r="27" s="188" customFormat="1" ht="11.25">
      <c r="A27" s="188" t="s">
        <v>176</v>
      </c>
    </row>
    <row r="28" s="188" customFormat="1" ht="11.25">
      <c r="A28" s="188" t="s">
        <v>198</v>
      </c>
    </row>
    <row r="29" s="188" customFormat="1" ht="11.25">
      <c r="A29" s="188" t="s">
        <v>199</v>
      </c>
    </row>
    <row r="30" s="188" customFormat="1" ht="11.25">
      <c r="A30" s="188" t="s">
        <v>200</v>
      </c>
    </row>
    <row r="31" s="188" customFormat="1" ht="11.25">
      <c r="A31" s="188" t="s">
        <v>201</v>
      </c>
    </row>
    <row r="32" s="188" customFormat="1" ht="11.25">
      <c r="A32" s="188" t="s">
        <v>202</v>
      </c>
    </row>
    <row r="33" s="188" customFormat="1" ht="11.25">
      <c r="A33" s="188" t="s">
        <v>184</v>
      </c>
    </row>
  </sheetData>
  <mergeCells count="2">
    <mergeCell ref="B2:D2"/>
    <mergeCell ref="E2:G2"/>
  </mergeCells>
  <printOptions/>
  <pageMargins left="0.56" right="0.75" top="0.7" bottom="1" header="0.98" footer="0.5"/>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2:L26"/>
  <sheetViews>
    <sheetView workbookViewId="0" topLeftCell="A15">
      <selection activeCell="A26" sqref="A1:G26"/>
    </sheetView>
  </sheetViews>
  <sheetFormatPr defaultColWidth="11.421875" defaultRowHeight="12.75"/>
  <cols>
    <col min="1" max="1" width="21.00390625" style="3" customWidth="1"/>
    <col min="2" max="2" width="10.7109375" style="3" customWidth="1"/>
    <col min="3" max="3" width="10.57421875" style="3" customWidth="1"/>
    <col min="4" max="6" width="9.140625" style="3" customWidth="1"/>
    <col min="7" max="7" width="9.7109375" style="3" customWidth="1"/>
    <col min="8" max="9" width="9.140625" style="3" customWidth="1"/>
    <col min="10" max="10" width="16.7109375" style="3" customWidth="1"/>
    <col min="11" max="16384" width="9.140625" style="3" customWidth="1"/>
  </cols>
  <sheetData>
    <row r="1" ht="5.25" customHeight="1" thickBot="1"/>
    <row r="2" spans="1:12" s="50" customFormat="1" ht="54.75" customHeight="1">
      <c r="A2" s="27" t="s">
        <v>207</v>
      </c>
      <c r="B2" s="17" t="s">
        <v>203</v>
      </c>
      <c r="C2" s="17" t="s">
        <v>204</v>
      </c>
      <c r="D2" s="274" t="s">
        <v>205</v>
      </c>
      <c r="E2" s="274"/>
      <c r="F2" s="274"/>
      <c r="G2" s="18" t="s">
        <v>206</v>
      </c>
      <c r="I2" s="152"/>
      <c r="J2" s="152"/>
      <c r="K2" s="152"/>
      <c r="L2" s="152"/>
    </row>
    <row r="3" spans="1:7" s="50" customFormat="1" ht="15.75" customHeight="1" thickBot="1">
      <c r="A3" s="10" t="s">
        <v>62</v>
      </c>
      <c r="B3" s="11">
        <v>1990</v>
      </c>
      <c r="C3" s="11">
        <v>1990</v>
      </c>
      <c r="D3" s="16">
        <v>1982</v>
      </c>
      <c r="E3" s="16">
        <v>1990</v>
      </c>
      <c r="F3" s="16">
        <v>1998</v>
      </c>
      <c r="G3" s="12">
        <v>1990</v>
      </c>
    </row>
    <row r="4" spans="1:7" ht="12.75">
      <c r="A4" s="72" t="s">
        <v>39</v>
      </c>
      <c r="B4" s="109">
        <v>40.17</v>
      </c>
      <c r="C4" s="109">
        <v>33.5</v>
      </c>
      <c r="D4" s="109">
        <v>1.96</v>
      </c>
      <c r="E4" s="109">
        <v>3.24</v>
      </c>
      <c r="F4" s="109">
        <v>2.98</v>
      </c>
      <c r="G4" s="76">
        <v>54.95</v>
      </c>
    </row>
    <row r="5" spans="1:7" ht="12.75">
      <c r="A5" s="77" t="s">
        <v>40</v>
      </c>
      <c r="B5" s="82">
        <v>44.05</v>
      </c>
      <c r="C5" s="82">
        <v>12.08</v>
      </c>
      <c r="D5" s="82">
        <v>2.19</v>
      </c>
      <c r="E5" s="82">
        <v>3.69</v>
      </c>
      <c r="F5" s="82">
        <v>2.78</v>
      </c>
      <c r="G5" s="81">
        <v>45.7</v>
      </c>
    </row>
    <row r="6" spans="1:7" ht="12.75">
      <c r="A6" s="77" t="s">
        <v>41</v>
      </c>
      <c r="B6" s="82">
        <v>43.05</v>
      </c>
      <c r="C6" s="82">
        <v>11.13</v>
      </c>
      <c r="D6" s="82">
        <v>3.87</v>
      </c>
      <c r="E6" s="82">
        <v>4.93</v>
      </c>
      <c r="F6" s="82">
        <v>3.64</v>
      </c>
      <c r="G6" s="81">
        <v>43.5</v>
      </c>
    </row>
    <row r="7" spans="1:7" ht="12.75">
      <c r="A7" s="77" t="s">
        <v>42</v>
      </c>
      <c r="B7" s="82">
        <v>40.67</v>
      </c>
      <c r="C7" s="82">
        <v>13.39</v>
      </c>
      <c r="D7" s="82">
        <v>2.82</v>
      </c>
      <c r="E7" s="82">
        <v>4.76</v>
      </c>
      <c r="F7" s="82">
        <v>3.71</v>
      </c>
      <c r="G7" s="81">
        <v>52.25</v>
      </c>
    </row>
    <row r="8" spans="1:7" ht="12.75">
      <c r="A8" s="77" t="s">
        <v>43</v>
      </c>
      <c r="B8" s="82">
        <v>44.1</v>
      </c>
      <c r="C8" s="82">
        <v>11.52</v>
      </c>
      <c r="D8" s="82">
        <v>1.89</v>
      </c>
      <c r="E8" s="82">
        <v>2.89</v>
      </c>
      <c r="F8" s="82">
        <v>2.08</v>
      </c>
      <c r="G8" s="81">
        <v>44.17</v>
      </c>
    </row>
    <row r="9" spans="1:7" ht="12.75">
      <c r="A9" s="77" t="s">
        <v>44</v>
      </c>
      <c r="B9" s="82">
        <v>43.9</v>
      </c>
      <c r="C9" s="82">
        <v>15.69</v>
      </c>
      <c r="D9" s="82">
        <v>2.94</v>
      </c>
      <c r="E9" s="82">
        <v>3.26</v>
      </c>
      <c r="F9" s="82">
        <v>2.36</v>
      </c>
      <c r="G9" s="81">
        <v>46.08</v>
      </c>
    </row>
    <row r="10" spans="1:7" ht="12.75">
      <c r="A10" s="77" t="s">
        <v>45</v>
      </c>
      <c r="B10" s="82">
        <v>28.76</v>
      </c>
      <c r="C10" s="82">
        <v>22.68</v>
      </c>
      <c r="D10" s="82">
        <v>3.08</v>
      </c>
      <c r="E10" s="82">
        <v>2.72</v>
      </c>
      <c r="F10" s="82">
        <v>1.79</v>
      </c>
      <c r="G10" s="81">
        <v>60.57</v>
      </c>
    </row>
    <row r="11" spans="1:7" ht="12.75">
      <c r="A11" s="77" t="s">
        <v>46</v>
      </c>
      <c r="B11" s="82">
        <v>33.4</v>
      </c>
      <c r="C11" s="82">
        <v>11.37</v>
      </c>
      <c r="D11" s="82">
        <v>2.8</v>
      </c>
      <c r="E11" s="82">
        <v>3.92</v>
      </c>
      <c r="F11" s="82">
        <v>2.74</v>
      </c>
      <c r="G11" s="81">
        <v>49.38</v>
      </c>
    </row>
    <row r="12" spans="1:7" ht="12.75">
      <c r="A12" s="77" t="s">
        <v>47</v>
      </c>
      <c r="B12" s="82">
        <v>27.8</v>
      </c>
      <c r="C12" s="82">
        <v>41.32</v>
      </c>
      <c r="D12" s="82">
        <v>0.94</v>
      </c>
      <c r="E12" s="82">
        <v>1.08</v>
      </c>
      <c r="F12" s="82">
        <v>0.99</v>
      </c>
      <c r="G12" s="81">
        <v>64.17</v>
      </c>
    </row>
    <row r="13" spans="1:7" ht="12.75">
      <c r="A13" s="77" t="s">
        <v>48</v>
      </c>
      <c r="B13" s="82">
        <v>41.61</v>
      </c>
      <c r="C13" s="82">
        <v>17.51</v>
      </c>
      <c r="D13" s="82">
        <v>2.77</v>
      </c>
      <c r="E13" s="82">
        <v>3.1</v>
      </c>
      <c r="F13" s="82">
        <v>2.31</v>
      </c>
      <c r="G13" s="81">
        <v>51.63</v>
      </c>
    </row>
    <row r="14" spans="1:7" ht="12.75">
      <c r="A14" s="77" t="s">
        <v>49</v>
      </c>
      <c r="B14" s="82">
        <v>41.56</v>
      </c>
      <c r="C14" s="82">
        <v>19.18</v>
      </c>
      <c r="D14" s="82">
        <v>2.64</v>
      </c>
      <c r="E14" s="82">
        <v>3.68</v>
      </c>
      <c r="F14" s="82">
        <v>3.59</v>
      </c>
      <c r="G14" s="81">
        <v>50.01</v>
      </c>
    </row>
    <row r="15" spans="1:7" ht="12.75">
      <c r="A15" s="77" t="s">
        <v>50</v>
      </c>
      <c r="B15" s="82">
        <v>32.56</v>
      </c>
      <c r="C15" s="82">
        <v>11.35</v>
      </c>
      <c r="D15" s="82">
        <v>0.89</v>
      </c>
      <c r="E15" s="82">
        <v>1.28</v>
      </c>
      <c r="F15" s="82">
        <v>1.37</v>
      </c>
      <c r="G15" s="81">
        <v>51.44</v>
      </c>
    </row>
    <row r="16" spans="1:7" ht="12.75">
      <c r="A16" s="77" t="s">
        <v>51</v>
      </c>
      <c r="B16" s="82">
        <v>32.05</v>
      </c>
      <c r="C16" s="82">
        <v>14.56</v>
      </c>
      <c r="D16" s="82">
        <v>1.49</v>
      </c>
      <c r="E16" s="82">
        <v>2.15</v>
      </c>
      <c r="F16" s="82">
        <v>1.39</v>
      </c>
      <c r="G16" s="81">
        <v>55.59</v>
      </c>
    </row>
    <row r="17" spans="1:7" ht="12.75">
      <c r="A17" s="77" t="s">
        <v>52</v>
      </c>
      <c r="B17" s="82">
        <v>34.88</v>
      </c>
      <c r="C17" s="82">
        <v>12.06</v>
      </c>
      <c r="D17" s="82">
        <v>5.63</v>
      </c>
      <c r="E17" s="82">
        <v>7.55</v>
      </c>
      <c r="F17" s="82">
        <v>6.43</v>
      </c>
      <c r="G17" s="81">
        <v>49.23</v>
      </c>
    </row>
    <row r="18" spans="1:7" ht="12.75">
      <c r="A18" s="77" t="s">
        <v>53</v>
      </c>
      <c r="B18" s="82">
        <v>34.94</v>
      </c>
      <c r="C18" s="82">
        <v>13.42</v>
      </c>
      <c r="D18" s="82">
        <v>3.88</v>
      </c>
      <c r="E18" s="82">
        <v>3.35</v>
      </c>
      <c r="F18" s="82">
        <v>2.79</v>
      </c>
      <c r="G18" s="81">
        <v>49.07</v>
      </c>
    </row>
    <row r="19" spans="1:7" ht="12.75">
      <c r="A19" s="77" t="s">
        <v>54</v>
      </c>
      <c r="B19" s="82">
        <v>34.85</v>
      </c>
      <c r="C19" s="82">
        <v>24.98</v>
      </c>
      <c r="D19" s="82">
        <v>8.94</v>
      </c>
      <c r="E19" s="82">
        <v>10.19</v>
      </c>
      <c r="F19" s="82">
        <v>5.97</v>
      </c>
      <c r="G19" s="81">
        <v>55.1</v>
      </c>
    </row>
    <row r="20" spans="1:7" ht="12.75">
      <c r="A20" s="77" t="s">
        <v>55</v>
      </c>
      <c r="B20" s="82">
        <v>32.13</v>
      </c>
      <c r="C20" s="82">
        <v>51.89</v>
      </c>
      <c r="D20" s="82">
        <v>2.47</v>
      </c>
      <c r="E20" s="82">
        <v>2.59</v>
      </c>
      <c r="F20" s="82">
        <v>1.96</v>
      </c>
      <c r="G20" s="81">
        <v>66.55</v>
      </c>
    </row>
    <row r="21" spans="1:7" ht="12.75">
      <c r="A21" s="77" t="s">
        <v>56</v>
      </c>
      <c r="B21" s="82">
        <v>39.61</v>
      </c>
      <c r="C21" s="82">
        <v>19.9</v>
      </c>
      <c r="D21" s="82">
        <v>2.16</v>
      </c>
      <c r="E21" s="82">
        <v>2.5</v>
      </c>
      <c r="F21" s="82">
        <v>2.3</v>
      </c>
      <c r="G21" s="81">
        <v>53.51</v>
      </c>
    </row>
    <row r="22" spans="1:7" ht="12.75">
      <c r="A22" s="77" t="s">
        <v>57</v>
      </c>
      <c r="B22" s="82">
        <v>34.89</v>
      </c>
      <c r="C22" s="82">
        <v>10.96</v>
      </c>
      <c r="D22" s="82">
        <v>4.56</v>
      </c>
      <c r="E22" s="82">
        <v>5.69</v>
      </c>
      <c r="F22" s="82">
        <v>3.88</v>
      </c>
      <c r="G22" s="81">
        <v>48.05</v>
      </c>
    </row>
    <row r="23" spans="1:7" ht="13.5" thickBot="1">
      <c r="A23" s="93" t="s">
        <v>58</v>
      </c>
      <c r="B23" s="111">
        <v>29.92</v>
      </c>
      <c r="C23" s="111">
        <v>56.41</v>
      </c>
      <c r="D23" s="111">
        <v>10.01</v>
      </c>
      <c r="E23" s="111">
        <v>7.33</v>
      </c>
      <c r="F23" s="111">
        <v>5.91</v>
      </c>
      <c r="G23" s="161">
        <v>67.57</v>
      </c>
    </row>
    <row r="25" ht="12.75">
      <c r="A25" s="207" t="s">
        <v>208</v>
      </c>
    </row>
    <row r="26" s="188" customFormat="1" ht="11.25">
      <c r="A26" s="188" t="s">
        <v>211</v>
      </c>
    </row>
  </sheetData>
  <mergeCells count="1">
    <mergeCell ref="D2:F2"/>
  </mergeCells>
  <printOptions/>
  <pageMargins left="0.97" right="0.75" top="0.92"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FERNANDO FLORES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Ecolap</dc:creator>
  <cp:keywords/>
  <dc:description/>
  <cp:lastModifiedBy>ILARREA</cp:lastModifiedBy>
  <cp:lastPrinted>2003-08-28T13:44:06Z</cp:lastPrinted>
  <dcterms:created xsi:type="dcterms:W3CDTF">2002-02-19T12:05:19Z</dcterms:created>
  <dcterms:modified xsi:type="dcterms:W3CDTF">2003-08-28T13:44:34Z</dcterms:modified>
  <cp:category/>
  <cp:version/>
  <cp:contentType/>
  <cp:contentStatus/>
</cp:coreProperties>
</file>